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updateLinks="never"/>
  <bookViews>
    <workbookView xWindow="-120" yWindow="-120" windowWidth="20730" windowHeight="11760" tabRatio="677"/>
  </bookViews>
  <sheets>
    <sheet name="Расчет номинала" sheetId="1" r:id="rId1"/>
    <sheet name="Расчет нормативных затрат" sheetId="4" r:id="rId2"/>
    <sheet name="Сходимость модели ПФ" sheetId="5" r:id="rId3"/>
    <sheet name="Уточнение мунзадания" sheetId="6" r:id="rId4"/>
  </sheets>
  <definedNames>
    <definedName name="_xlnm.Print_Area" localSheetId="3">'Уточнение мунзадания'!$A$1:$H$182</definedName>
  </definedNames>
  <calcPr calcId="124519" fullPrecision="0"/>
</workbook>
</file>

<file path=xl/calcChain.xml><?xml version="1.0" encoding="utf-8"?>
<calcChain xmlns="http://schemas.openxmlformats.org/spreadsheetml/2006/main">
  <c r="E1" i="6"/>
  <c r="I4" i="5"/>
  <c r="J4"/>
  <c r="I5"/>
  <c r="J5"/>
  <c r="B7" i="6"/>
  <c r="B8"/>
  <c r="B9"/>
  <c r="B10"/>
  <c r="F2" i="4"/>
  <c r="F11"/>
  <c r="H2"/>
  <c r="H11" s="1"/>
  <c r="I2"/>
  <c r="I11"/>
  <c r="K11"/>
  <c r="H7" i="6"/>
  <c r="H10"/>
  <c r="B18"/>
  <c r="G2" i="4"/>
  <c r="G11" s="1"/>
  <c r="B19" i="6"/>
  <c r="B20"/>
  <c r="B21"/>
  <c r="J2" i="4"/>
  <c r="J11" s="1"/>
  <c r="B23" i="6"/>
  <c r="B30"/>
  <c r="B31"/>
  <c r="F31" s="1"/>
  <c r="B32"/>
  <c r="H32"/>
  <c r="B33"/>
  <c r="B34"/>
  <c r="B35"/>
  <c r="B6"/>
  <c r="B11"/>
  <c r="F8" i="4"/>
  <c r="F9"/>
  <c r="G8"/>
  <c r="G9"/>
  <c r="H8"/>
  <c r="H9"/>
  <c r="I8"/>
  <c r="I9" s="1"/>
  <c r="B22" i="6"/>
  <c r="K8" i="4"/>
  <c r="K10"/>
  <c r="J8"/>
  <c r="J9" s="1"/>
  <c r="J10"/>
  <c r="F18" i="6"/>
  <c r="F20"/>
  <c r="F23"/>
  <c r="D16" i="1"/>
  <c r="D16" i="6" s="1"/>
  <c r="F30"/>
  <c r="F32"/>
  <c r="F33"/>
  <c r="F34"/>
  <c r="F35"/>
  <c r="F16" i="1"/>
  <c r="D28" i="6" s="1"/>
  <c r="M38"/>
  <c r="F11"/>
  <c r="F12" s="1"/>
  <c r="B16" i="1"/>
  <c r="D4" i="6" s="1"/>
  <c r="G12"/>
  <c r="E12"/>
  <c r="I12"/>
  <c r="B42"/>
  <c r="F42"/>
  <c r="B43"/>
  <c r="F43"/>
  <c r="B44"/>
  <c r="F44"/>
  <c r="B45"/>
  <c r="F45"/>
  <c r="B46"/>
  <c r="F46"/>
  <c r="B47"/>
  <c r="F47"/>
  <c r="B54"/>
  <c r="F54" s="1"/>
  <c r="B55"/>
  <c r="F55" s="1"/>
  <c r="B56"/>
  <c r="F56" s="1"/>
  <c r="B57"/>
  <c r="F57" s="1"/>
  <c r="B58"/>
  <c r="F58" s="1"/>
  <c r="B59"/>
  <c r="F59" s="1"/>
  <c r="B66"/>
  <c r="F66"/>
  <c r="B67"/>
  <c r="F67"/>
  <c r="B68"/>
  <c r="F68"/>
  <c r="B69"/>
  <c r="F69"/>
  <c r="B70"/>
  <c r="F70"/>
  <c r="B71"/>
  <c r="F71"/>
  <c r="B78"/>
  <c r="F78" s="1"/>
  <c r="B79"/>
  <c r="F79" s="1"/>
  <c r="B80"/>
  <c r="F80" s="1"/>
  <c r="B81"/>
  <c r="F81" s="1"/>
  <c r="B82"/>
  <c r="F82" s="1"/>
  <c r="B83"/>
  <c r="F83" s="1"/>
  <c r="B90"/>
  <c r="F90"/>
  <c r="B91"/>
  <c r="F91"/>
  <c r="B92"/>
  <c r="F92"/>
  <c r="B93"/>
  <c r="F93"/>
  <c r="B94"/>
  <c r="F94"/>
  <c r="B95"/>
  <c r="F95"/>
  <c r="B102"/>
  <c r="F102" s="1"/>
  <c r="B103"/>
  <c r="F103" s="1"/>
  <c r="B104"/>
  <c r="F104" s="1"/>
  <c r="B105"/>
  <c r="F105" s="1"/>
  <c r="B106"/>
  <c r="F106" s="1"/>
  <c r="B107"/>
  <c r="F107" s="1"/>
  <c r="B114"/>
  <c r="F114"/>
  <c r="B115"/>
  <c r="F115"/>
  <c r="B116"/>
  <c r="F116"/>
  <c r="B117"/>
  <c r="F117"/>
  <c r="B118"/>
  <c r="F118"/>
  <c r="B119"/>
  <c r="F119"/>
  <c r="B126"/>
  <c r="F126" s="1"/>
  <c r="B127"/>
  <c r="F127" s="1"/>
  <c r="B128"/>
  <c r="F128" s="1"/>
  <c r="B129"/>
  <c r="F129" s="1"/>
  <c r="B130"/>
  <c r="F130" s="1"/>
  <c r="B131"/>
  <c r="F131" s="1"/>
  <c r="B138"/>
  <c r="F138"/>
  <c r="B139"/>
  <c r="F139"/>
  <c r="B140"/>
  <c r="F140"/>
  <c r="B141"/>
  <c r="F141"/>
  <c r="B142"/>
  <c r="F142"/>
  <c r="B143"/>
  <c r="F143"/>
  <c r="B150"/>
  <c r="F150" s="1"/>
  <c r="B151"/>
  <c r="F151" s="1"/>
  <c r="B152"/>
  <c r="F152" s="1"/>
  <c r="B153"/>
  <c r="F153" s="1"/>
  <c r="B154"/>
  <c r="F154" s="1"/>
  <c r="B155"/>
  <c r="F155" s="1"/>
  <c r="B162"/>
  <c r="F162"/>
  <c r="B163"/>
  <c r="F163"/>
  <c r="B164"/>
  <c r="F164"/>
  <c r="B165"/>
  <c r="F165"/>
  <c r="B166"/>
  <c r="F166"/>
  <c r="B167"/>
  <c r="F167"/>
  <c r="B174"/>
  <c r="F174" s="1"/>
  <c r="B175"/>
  <c r="F175" s="1"/>
  <c r="B176"/>
  <c r="F176" s="1"/>
  <c r="B177"/>
  <c r="F177" s="1"/>
  <c r="B178"/>
  <c r="F178" s="1"/>
  <c r="B179"/>
  <c r="F179" s="1"/>
  <c r="I22"/>
  <c r="I32"/>
  <c r="H12" i="4"/>
  <c r="H10"/>
  <c r="A172" i="6"/>
  <c r="G180"/>
  <c r="E180"/>
  <c r="D180"/>
  <c r="A160"/>
  <c r="G168"/>
  <c r="E168"/>
  <c r="D168"/>
  <c r="A148"/>
  <c r="G156"/>
  <c r="E156"/>
  <c r="D156"/>
  <c r="A136"/>
  <c r="G144"/>
  <c r="E144"/>
  <c r="D144"/>
  <c r="A124"/>
  <c r="G132"/>
  <c r="E132"/>
  <c r="D132"/>
  <c r="A112"/>
  <c r="G120"/>
  <c r="E120"/>
  <c r="D120"/>
  <c r="A100"/>
  <c r="G108"/>
  <c r="E108"/>
  <c r="D108"/>
  <c r="A88"/>
  <c r="G96"/>
  <c r="E96"/>
  <c r="D96"/>
  <c r="A76"/>
  <c r="G84"/>
  <c r="E84"/>
  <c r="D84"/>
  <c r="A64"/>
  <c r="G72"/>
  <c r="E72"/>
  <c r="D72"/>
  <c r="A52"/>
  <c r="G60"/>
  <c r="E60"/>
  <c r="D60"/>
  <c r="A40"/>
  <c r="G48"/>
  <c r="E48"/>
  <c r="D48"/>
  <c r="A28"/>
  <c r="G36"/>
  <c r="E36"/>
  <c r="D36"/>
  <c r="G14" i="4"/>
  <c r="H14"/>
  <c r="I14"/>
  <c r="J14"/>
  <c r="K14"/>
  <c r="F14"/>
  <c r="G24" i="6"/>
  <c r="E24"/>
  <c r="D24"/>
  <c r="G10" i="4"/>
  <c r="I10"/>
  <c r="F10"/>
  <c r="I15" i="1"/>
  <c r="H16"/>
  <c r="D40" i="6" s="1"/>
  <c r="K15" i="1"/>
  <c r="J16"/>
  <c r="D52" i="6" s="1"/>
  <c r="A16"/>
  <c r="A4"/>
  <c r="M15" i="1"/>
  <c r="L16"/>
  <c r="D64" i="6" s="1"/>
  <c r="O15" i="1"/>
  <c r="N16"/>
  <c r="D76" i="6" s="1"/>
  <c r="Q15" i="1"/>
  <c r="P16"/>
  <c r="D88" i="6" s="1"/>
  <c r="S15" i="1"/>
  <c r="R16"/>
  <c r="D100" i="6" s="1"/>
  <c r="U15" i="1"/>
  <c r="T16"/>
  <c r="D112" i="6" s="1"/>
  <c r="W15" i="1"/>
  <c r="V16"/>
  <c r="D124" i="6" s="1"/>
  <c r="Y15" i="1"/>
  <c r="X16"/>
  <c r="D136" i="6" s="1"/>
  <c r="AA15" i="1"/>
  <c r="Z16"/>
  <c r="D148" i="6" s="1"/>
  <c r="AC15" i="1"/>
  <c r="AB16"/>
  <c r="D160" i="6" s="1"/>
  <c r="AE15" i="1"/>
  <c r="AD16"/>
  <c r="D172" i="6" s="1"/>
  <c r="B1"/>
  <c r="D12"/>
  <c r="G34" i="5"/>
  <c r="B1" i="4"/>
  <c r="K12"/>
  <c r="J12"/>
  <c r="I12"/>
  <c r="G12"/>
  <c r="F12"/>
  <c r="F3" i="1"/>
  <c r="D3"/>
  <c r="F96" i="6" l="1"/>
  <c r="F168"/>
  <c r="F144"/>
  <c r="F120"/>
  <c r="F72"/>
  <c r="F48"/>
  <c r="F36"/>
  <c r="H7" i="4"/>
  <c r="G7"/>
  <c r="I7"/>
  <c r="F7"/>
  <c r="C30" i="6" s="1"/>
  <c r="H30" s="1"/>
  <c r="C20"/>
  <c r="H20" s="1"/>
  <c r="C44"/>
  <c r="H44" s="1"/>
  <c r="C68"/>
  <c r="H68" s="1"/>
  <c r="C92"/>
  <c r="H92" s="1"/>
  <c r="C116"/>
  <c r="H116" s="1"/>
  <c r="C140"/>
  <c r="H140" s="1"/>
  <c r="C164"/>
  <c r="H164" s="1"/>
  <c r="C32"/>
  <c r="I7" i="5"/>
  <c r="J7" s="1"/>
  <c r="I10"/>
  <c r="J10" s="1"/>
  <c r="C8" i="6"/>
  <c r="H8" s="1"/>
  <c r="C56"/>
  <c r="H56" s="1"/>
  <c r="C80"/>
  <c r="H80" s="1"/>
  <c r="C104"/>
  <c r="H104" s="1"/>
  <c r="C128"/>
  <c r="H128" s="1"/>
  <c r="C152"/>
  <c r="H152" s="1"/>
  <c r="C176"/>
  <c r="H176" s="1"/>
  <c r="I11" i="5"/>
  <c r="J11" s="1"/>
  <c r="I6"/>
  <c r="J6" s="1"/>
  <c r="I9"/>
  <c r="J9" s="1"/>
  <c r="I8"/>
  <c r="J8" s="1"/>
  <c r="I12"/>
  <c r="J12" s="1"/>
  <c r="I13"/>
  <c r="J13" s="1"/>
  <c r="C9" i="6"/>
  <c r="H9" s="1"/>
  <c r="C33"/>
  <c r="H33" s="1"/>
  <c r="C45"/>
  <c r="H45" s="1"/>
  <c r="C69"/>
  <c r="H69" s="1"/>
  <c r="C93"/>
  <c r="H93" s="1"/>
  <c r="C117"/>
  <c r="H117" s="1"/>
  <c r="C141"/>
  <c r="H141" s="1"/>
  <c r="C165"/>
  <c r="H165" s="1"/>
  <c r="I24" i="5"/>
  <c r="J24" s="1"/>
  <c r="C21" i="6"/>
  <c r="C57"/>
  <c r="H57" s="1"/>
  <c r="C81"/>
  <c r="H81" s="1"/>
  <c r="C105"/>
  <c r="H105" s="1"/>
  <c r="C129"/>
  <c r="H129" s="1"/>
  <c r="C153"/>
  <c r="H153" s="1"/>
  <c r="C177"/>
  <c r="H177" s="1"/>
  <c r="C6"/>
  <c r="H6" s="1"/>
  <c r="C42"/>
  <c r="H42" s="1"/>
  <c r="C90"/>
  <c r="H90" s="1"/>
  <c r="C138"/>
  <c r="H138" s="1"/>
  <c r="C162"/>
  <c r="H162" s="1"/>
  <c r="I25" i="5"/>
  <c r="J25" s="1"/>
  <c r="I23"/>
  <c r="J23" s="1"/>
  <c r="I22"/>
  <c r="J22" s="1"/>
  <c r="I27"/>
  <c r="J27" s="1"/>
  <c r="I26"/>
  <c r="J26" s="1"/>
  <c r="C18" i="6"/>
  <c r="C54"/>
  <c r="H54" s="1"/>
  <c r="C78"/>
  <c r="H78" s="1"/>
  <c r="C102"/>
  <c r="H102" s="1"/>
  <c r="C126"/>
  <c r="H126" s="1"/>
  <c r="C150"/>
  <c r="H150" s="1"/>
  <c r="C174"/>
  <c r="H174" s="1"/>
  <c r="I21" i="5"/>
  <c r="J21" s="1"/>
  <c r="F180" i="6"/>
  <c r="F156"/>
  <c r="F132"/>
  <c r="F108"/>
  <c r="F84"/>
  <c r="F60"/>
  <c r="J7" i="4"/>
  <c r="I2" i="5" s="1"/>
  <c r="H21" i="6"/>
  <c r="H18"/>
  <c r="C43"/>
  <c r="H43" s="1"/>
  <c r="C67"/>
  <c r="H67" s="1"/>
  <c r="C91"/>
  <c r="H91" s="1"/>
  <c r="C115"/>
  <c r="H115" s="1"/>
  <c r="C139"/>
  <c r="H139" s="1"/>
  <c r="C163"/>
  <c r="H163" s="1"/>
  <c r="C7"/>
  <c r="C19"/>
  <c r="H19" s="1"/>
  <c r="C31"/>
  <c r="H31" s="1"/>
  <c r="C55"/>
  <c r="H55" s="1"/>
  <c r="C79"/>
  <c r="H79" s="1"/>
  <c r="C103"/>
  <c r="H103" s="1"/>
  <c r="C127"/>
  <c r="H127" s="1"/>
  <c r="C151"/>
  <c r="H151" s="1"/>
  <c r="C175"/>
  <c r="H175" s="1"/>
  <c r="F21"/>
  <c r="F19"/>
  <c r="F24" s="1"/>
  <c r="K9" i="4"/>
  <c r="K7" s="1"/>
  <c r="I20" i="5" s="1"/>
  <c r="J20" s="1"/>
  <c r="C114" i="6" l="1"/>
  <c r="H114" s="1"/>
  <c r="C66"/>
  <c r="H66" s="1"/>
  <c r="C11"/>
  <c r="H11" s="1"/>
  <c r="C35"/>
  <c r="H35" s="1"/>
  <c r="C47"/>
  <c r="H47" s="1"/>
  <c r="C71"/>
  <c r="H71" s="1"/>
  <c r="C95"/>
  <c r="H95" s="1"/>
  <c r="C119"/>
  <c r="H119" s="1"/>
  <c r="C143"/>
  <c r="H143" s="1"/>
  <c r="C167"/>
  <c r="H167" s="1"/>
  <c r="I17" i="5"/>
  <c r="J17" s="1"/>
  <c r="I15"/>
  <c r="J15" s="1"/>
  <c r="I19"/>
  <c r="J19" s="1"/>
  <c r="C23" i="6"/>
  <c r="H23" s="1"/>
  <c r="C59"/>
  <c r="H59" s="1"/>
  <c r="C83"/>
  <c r="H83" s="1"/>
  <c r="C107"/>
  <c r="H107" s="1"/>
  <c r="C131"/>
  <c r="H131" s="1"/>
  <c r="C155"/>
  <c r="H155" s="1"/>
  <c r="C179"/>
  <c r="H179" s="1"/>
  <c r="I16" i="5"/>
  <c r="J16" s="1"/>
  <c r="I14"/>
  <c r="J14" s="1"/>
  <c r="I18"/>
  <c r="J18" s="1"/>
  <c r="C46" i="6"/>
  <c r="H46" s="1"/>
  <c r="C70"/>
  <c r="H70" s="1"/>
  <c r="C94"/>
  <c r="H94" s="1"/>
  <c r="C118"/>
  <c r="H118" s="1"/>
  <c r="C142"/>
  <c r="H142" s="1"/>
  <c r="C166"/>
  <c r="H166" s="1"/>
  <c r="I3" i="5"/>
  <c r="J3" s="1"/>
  <c r="I29"/>
  <c r="J29" s="1"/>
  <c r="I28"/>
  <c r="J28" s="1"/>
  <c r="I33"/>
  <c r="J33" s="1"/>
  <c r="I30"/>
  <c r="J30" s="1"/>
  <c r="C22" i="6"/>
  <c r="H22" s="1"/>
  <c r="C34"/>
  <c r="H34" s="1"/>
  <c r="C58"/>
  <c r="H58" s="1"/>
  <c r="H60" s="1"/>
  <c r="G52" s="1"/>
  <c r="H62" s="1"/>
  <c r="C82"/>
  <c r="H82" s="1"/>
  <c r="C106"/>
  <c r="H106" s="1"/>
  <c r="H108" s="1"/>
  <c r="G100" s="1"/>
  <c r="H110" s="1"/>
  <c r="C130"/>
  <c r="H130" s="1"/>
  <c r="C154"/>
  <c r="H154" s="1"/>
  <c r="H156" s="1"/>
  <c r="G148" s="1"/>
  <c r="H158" s="1"/>
  <c r="C178"/>
  <c r="H178" s="1"/>
  <c r="C10"/>
  <c r="I31" i="5"/>
  <c r="J31" s="1"/>
  <c r="J2"/>
  <c r="I32"/>
  <c r="J32" s="1"/>
  <c r="B17" i="1"/>
  <c r="B19" s="1"/>
  <c r="E19" s="1"/>
  <c r="H72" i="6"/>
  <c r="G64" s="1"/>
  <c r="H74" s="1"/>
  <c r="H12"/>
  <c r="G2" i="1" l="1"/>
  <c r="K4" i="5"/>
  <c r="M5"/>
  <c r="K5"/>
  <c r="M4"/>
  <c r="K10"/>
  <c r="L10" s="1"/>
  <c r="M13"/>
  <c r="H144" i="6"/>
  <c r="G136" s="1"/>
  <c r="H146" s="1"/>
  <c r="H96"/>
  <c r="G88" s="1"/>
  <c r="H98" s="1"/>
  <c r="H48"/>
  <c r="G40" s="1"/>
  <c r="H50" s="1"/>
  <c r="K13" i="5"/>
  <c r="L13" s="1"/>
  <c r="K22"/>
  <c r="L22" s="1"/>
  <c r="H168" i="6"/>
  <c r="G160" s="1"/>
  <c r="H170" s="1"/>
  <c r="K20" i="5"/>
  <c r="M20"/>
  <c r="H132" i="6"/>
  <c r="G124" s="1"/>
  <c r="H134" s="1"/>
  <c r="H24"/>
  <c r="M19" s="1"/>
  <c r="H120"/>
  <c r="G112" s="1"/>
  <c r="H122" s="1"/>
  <c r="K9" i="5"/>
  <c r="L9" s="1"/>
  <c r="K27"/>
  <c r="L27" s="1"/>
  <c r="K11"/>
  <c r="M24"/>
  <c r="K26"/>
  <c r="L26" s="1"/>
  <c r="M10"/>
  <c r="N13"/>
  <c r="N22"/>
  <c r="M22"/>
  <c r="M6"/>
  <c r="M12"/>
  <c r="M23"/>
  <c r="M21"/>
  <c r="K8"/>
  <c r="L8" s="1"/>
  <c r="K25"/>
  <c r="L25" s="1"/>
  <c r="M26"/>
  <c r="H180" i="6"/>
  <c r="G172" s="1"/>
  <c r="H182" s="1"/>
  <c r="H84"/>
  <c r="G76" s="1"/>
  <c r="H86" s="1"/>
  <c r="H36"/>
  <c r="G28" s="1"/>
  <c r="H38" s="1"/>
  <c r="L36" s="1"/>
  <c r="M31" i="5"/>
  <c r="K31"/>
  <c r="L31" s="1"/>
  <c r="M33"/>
  <c r="K33"/>
  <c r="L33" s="1"/>
  <c r="M29"/>
  <c r="K29"/>
  <c r="L29" s="1"/>
  <c r="M14"/>
  <c r="K14"/>
  <c r="L14" s="1"/>
  <c r="M15"/>
  <c r="K15"/>
  <c r="L15" s="1"/>
  <c r="N12" i="6"/>
  <c r="H2"/>
  <c r="F2" s="1"/>
  <c r="G4"/>
  <c r="M12"/>
  <c r="F19" i="1"/>
  <c r="M32" i="5"/>
  <c r="K32"/>
  <c r="L32" s="1"/>
  <c r="M2"/>
  <c r="K2"/>
  <c r="L2" s="1"/>
  <c r="M30"/>
  <c r="K30"/>
  <c r="L30" s="1"/>
  <c r="M28"/>
  <c r="K28"/>
  <c r="L28" s="1"/>
  <c r="K3"/>
  <c r="L3" s="1"/>
  <c r="M3"/>
  <c r="M18"/>
  <c r="K18"/>
  <c r="L18" s="1"/>
  <c r="K16"/>
  <c r="L16" s="1"/>
  <c r="M16"/>
  <c r="K19"/>
  <c r="L19" s="1"/>
  <c r="M19"/>
  <c r="M17"/>
  <c r="K17"/>
  <c r="L17" s="1"/>
  <c r="N10"/>
  <c r="K7"/>
  <c r="M7"/>
  <c r="K6"/>
  <c r="M9"/>
  <c r="K12"/>
  <c r="K23"/>
  <c r="M27"/>
  <c r="K21"/>
  <c r="M11"/>
  <c r="M8"/>
  <c r="K24"/>
  <c r="M25"/>
  <c r="L5" l="1"/>
  <c r="N5"/>
  <c r="L4"/>
  <c r="N4"/>
  <c r="L20"/>
  <c r="N20"/>
  <c r="N8"/>
  <c r="N27"/>
  <c r="N19"/>
  <c r="M36" i="6"/>
  <c r="M37" s="1"/>
  <c r="M39" s="1"/>
  <c r="L19"/>
  <c r="M20" s="1"/>
  <c r="N25" i="5"/>
  <c r="N9"/>
  <c r="G16" i="6"/>
  <c r="N3" i="5"/>
  <c r="N26"/>
  <c r="N16"/>
  <c r="N2"/>
  <c r="N13" i="6"/>
  <c r="N14" i="5"/>
  <c r="N17"/>
  <c r="N28"/>
  <c r="L11"/>
  <c r="N11"/>
  <c r="N33"/>
  <c r="L24"/>
  <c r="N24"/>
  <c r="L21"/>
  <c r="N21"/>
  <c r="L12"/>
  <c r="N12"/>
  <c r="N30"/>
  <c r="M34"/>
  <c r="N15"/>
  <c r="N29"/>
  <c r="N31"/>
  <c r="L23"/>
  <c r="N23"/>
  <c r="L6"/>
  <c r="N6"/>
  <c r="L7"/>
  <c r="N7"/>
  <c r="N18"/>
  <c r="N32"/>
  <c r="L34" l="1"/>
  <c r="L35" s="1"/>
  <c r="L36" s="1"/>
</calcChain>
</file>

<file path=xl/sharedStrings.xml><?xml version="1.0" encoding="utf-8"?>
<sst xmlns="http://schemas.openxmlformats.org/spreadsheetml/2006/main" count="618" uniqueCount="125">
  <si>
    <t>Наименование муниципалитета</t>
  </si>
  <si>
    <t>Организация 2</t>
  </si>
  <si>
    <t>Организация 4</t>
  </si>
  <si>
    <t>Организация 5</t>
  </si>
  <si>
    <t>Организация 6</t>
  </si>
  <si>
    <t>Организация 7</t>
  </si>
  <si>
    <t>Организация 8</t>
  </si>
  <si>
    <t>Организация 9</t>
  </si>
  <si>
    <t>Организация 10</t>
  </si>
  <si>
    <t>Техническая</t>
  </si>
  <si>
    <t>Естественнонаучная</t>
  </si>
  <si>
    <t>Художественная</t>
  </si>
  <si>
    <t>Туристско-краеведческая</t>
  </si>
  <si>
    <t>Физкультурно-спортивная</t>
  </si>
  <si>
    <t>Количество часов программы, предположительно покрываемое сертификатом</t>
  </si>
  <si>
    <t>Число сертификатов общее</t>
  </si>
  <si>
    <t>Число сертификатов с определенным номиналом</t>
  </si>
  <si>
    <t>Объем финансового обеспечения</t>
  </si>
  <si>
    <t>Количество учебных недель в году</t>
  </si>
  <si>
    <t>Организация 11</t>
  </si>
  <si>
    <t>Организация 12</t>
  </si>
  <si>
    <t>Организация 13</t>
  </si>
  <si>
    <t>Организация 14</t>
  </si>
  <si>
    <t>Организация 15</t>
  </si>
  <si>
    <t>Установленный охват общий, %</t>
  </si>
  <si>
    <t>Установленный охват ПФ ДОД, %</t>
  </si>
  <si>
    <t>Направленность</t>
  </si>
  <si>
    <t>Коэффициент доли работников АУП</t>
  </si>
  <si>
    <t>Минимальное число детей в группе</t>
  </si>
  <si>
    <t>Сумма затрат на повышение квалификации, в день</t>
  </si>
  <si>
    <t>Максимальное число детей в группе</t>
  </si>
  <si>
    <t>Стоимость медосмотра</t>
  </si>
  <si>
    <t>Нормативные затраты на час, всего</t>
  </si>
  <si>
    <t>Затраты на содержание имущества, на час реализации программы</t>
  </si>
  <si>
    <t>Затраты на оплату труда педагогических работников</t>
  </si>
  <si>
    <t>Стоимость комплекта средств обучения, по направленностям</t>
  </si>
  <si>
    <t>Затраты на оплату труда АУП</t>
  </si>
  <si>
    <t>Затраты на повышение квал-ии и медосмотры</t>
  </si>
  <si>
    <t>Затраты на приобретение средств обучения и учебной литературы</t>
  </si>
  <si>
    <t>Затраты на содержание имущества</t>
  </si>
  <si>
    <t>Норматив использования средств обучения в часах в год</t>
  </si>
  <si>
    <t>Стоимость учебного пособия</t>
  </si>
  <si>
    <t>Средняя зарплата по региону (целевой индикатор по Указу)</t>
  </si>
  <si>
    <t>Количество мест</t>
  </si>
  <si>
    <t>Норматив затрат по ПФ</t>
  </si>
  <si>
    <t>х</t>
  </si>
  <si>
    <t>Количество учебных часов в неделю</t>
  </si>
  <si>
    <t>Предполагаемая цена за чел/час</t>
  </si>
  <si>
    <t>Действующий норматив</t>
  </si>
  <si>
    <t>Итого по учреждению</t>
  </si>
  <si>
    <r>
      <rPr>
        <b/>
        <sz val="12"/>
        <color indexed="8"/>
        <rFont val="Calibri"/>
        <family val="2"/>
        <charset val="204"/>
      </rPr>
      <t xml:space="preserve">Организация </t>
    </r>
    <r>
      <rPr>
        <sz val="12"/>
        <color indexed="8"/>
        <rFont val="Calibri"/>
        <family val="2"/>
      </rPr>
      <t>- официальное краткое наименование</t>
    </r>
  </si>
  <si>
    <t>Норматив по ПФ</t>
  </si>
  <si>
    <t>Показатели финансирования дополнительных общеразвивающих программ, по направленностям</t>
  </si>
  <si>
    <r>
      <t>Среднее число учащихся на педагога Q</t>
    </r>
    <r>
      <rPr>
        <vertAlign val="subscript"/>
        <sz val="12"/>
        <color indexed="8"/>
        <rFont val="Calibri"/>
        <family val="2"/>
        <charset val="204"/>
      </rPr>
      <t>сред</t>
    </r>
  </si>
  <si>
    <r>
      <t>Средняя норма часов в год на одного ребенка V</t>
    </r>
    <r>
      <rPr>
        <vertAlign val="subscript"/>
        <sz val="12"/>
        <color indexed="8"/>
        <rFont val="Calibri"/>
        <family val="2"/>
        <charset val="204"/>
      </rPr>
      <t>час</t>
    </r>
  </si>
  <si>
    <t>ДОХОД учреждения по ПФ ДОД</t>
  </si>
  <si>
    <t>- ИНН</t>
  </si>
  <si>
    <t>Норматив (фактические затраты), рублей</t>
  </si>
  <si>
    <t>Чел-часов в задании (таблице перевода), всего</t>
  </si>
  <si>
    <t>Социально-гуманитарная</t>
  </si>
  <si>
    <t>Объем субсидии (расходов по смете) по ПРЕДПРОФ.программам, руб.</t>
  </si>
  <si>
    <t>Параметры финансирования ОБЩЕРАЗВИВАЮЩИМ программам</t>
  </si>
  <si>
    <t>Объем субсидии (расходов по смете) по ОБЩЕРАЗВИВ.прогр., руб.</t>
  </si>
  <si>
    <t>Объем субсидии (расходов по смете) по ВСЕМ программам, руб.</t>
  </si>
  <si>
    <r>
      <t xml:space="preserve">Рассчитанный номинал сертификата </t>
    </r>
    <r>
      <rPr>
        <b/>
        <i/>
        <sz val="12"/>
        <color indexed="8"/>
        <rFont val="Calibri"/>
        <family val="2"/>
        <charset val="204"/>
      </rPr>
      <t>на год</t>
    </r>
  </si>
  <si>
    <t>Учреждение, участвующее в ПФ (официальное краткое наименование)</t>
  </si>
  <si>
    <t>Количество учебных недель в периоде</t>
  </si>
  <si>
    <r>
      <t xml:space="preserve">Рассчитанный номинал сертификата </t>
    </r>
    <r>
      <rPr>
        <b/>
        <i/>
        <sz val="12"/>
        <color indexed="8"/>
        <rFont val="Calibri"/>
        <family val="2"/>
        <charset val="204"/>
      </rPr>
      <t>на период</t>
    </r>
    <r>
      <rPr>
        <i/>
        <sz val="12"/>
        <color indexed="8"/>
        <rFont val="Calibri"/>
        <family val="2"/>
      </rPr>
      <t xml:space="preserve"> </t>
    </r>
  </si>
  <si>
    <t>Объем муниципального задания ПФДОД, человеко-часов</t>
  </si>
  <si>
    <t>Стоимость 1 места в периоде</t>
  </si>
  <si>
    <t>Оплата 1 места в периоде  сертификатом</t>
  </si>
  <si>
    <t>Доплата со стороны родителей за 1 место в периоде</t>
  </si>
  <si>
    <t>Прогноз исполнения муниципального задания до начала периода, чел-часов</t>
  </si>
  <si>
    <t>Муниципальное задание НЕ по ПФ ДОД на период</t>
  </si>
  <si>
    <t>Субсидия НЕ по ПФДОД</t>
  </si>
  <si>
    <t>Муниципальное задание по ПФ ДОД на период</t>
  </si>
  <si>
    <t>Субсидия по ПФДОД</t>
  </si>
  <si>
    <t>Для казенных учреждений</t>
  </si>
  <si>
    <t>Объем субсидии по ПРЕДПРОФ. программам на период, рублей</t>
  </si>
  <si>
    <t>Объем финансирования ПФ ДОД, рублей</t>
  </si>
  <si>
    <t>Итоговый объем финансирования по всем программам, рублей</t>
  </si>
  <si>
    <t>Увеличение(+)/уменьшение(-) финансирования по учреждению</t>
  </si>
  <si>
    <t>Прогноз исполнения сметы до начала периода, рублей</t>
  </si>
  <si>
    <t>Для бюджетных/автономных учреждений</t>
  </si>
  <si>
    <t>Объем субсидии по ПРЕДПРОФ. программам на год, рублей</t>
  </si>
  <si>
    <t>Уменьшаемая сумма в служебной, рублей</t>
  </si>
  <si>
    <t>Общеразвивающая программа, полностью или частично переводимая на ПФ (наименование)</t>
  </si>
  <si>
    <t>Справочно число педчасов на указную зарплату при установленных параметрах</t>
  </si>
  <si>
    <t>Максимальный норматив ПФ</t>
  </si>
  <si>
    <t>Прогноз неиспользуемого остатка ПФ ДОД</t>
  </si>
  <si>
    <t>Первоначальный объем финансирования по всем программам, рублей</t>
  </si>
  <si>
    <t>Потребность в дополнительных средствах, рублей</t>
  </si>
  <si>
    <t>Численность детей от  5 до 18 лет, всего</t>
  </si>
  <si>
    <t>Беломорский МР</t>
  </si>
  <si>
    <t>МАОУ ДО "Беломорский ЦДО</t>
  </si>
  <si>
    <t>МАОУ ДО "Беломорская ДЮСШ"</t>
  </si>
  <si>
    <t>юный патриот</t>
  </si>
  <si>
    <t>Допустимые занчения 2-15%</t>
  </si>
  <si>
    <t>МАОУ ДО "Беломорский ЦДО"</t>
  </si>
  <si>
    <t>МАОУ ДО "Беломорская ДЮСШ им. А.В, Филиппова"</t>
  </si>
  <si>
    <t>футбол,лыжные гонки,баскетбол</t>
  </si>
  <si>
    <t>футбол,лыжные гонки</t>
  </si>
  <si>
    <t>баскетбол,легкая атлетика</t>
  </si>
  <si>
    <t>юный патриот 2г.обучения</t>
  </si>
  <si>
    <t>"Веселые поворята", "Кухни народов мира"</t>
  </si>
  <si>
    <t>Патриоты России</t>
  </si>
  <si>
    <t>Поделки из бумаги 1г.об</t>
  </si>
  <si>
    <t>Поделки из бумаги 2г.об</t>
  </si>
  <si>
    <t>"Начальная робототехника" 1-го г.об.</t>
  </si>
  <si>
    <t>"Начальная робототехника" 2-го г.об.</t>
  </si>
  <si>
    <t>робототехника "Первые шаги" 1г.об</t>
  </si>
  <si>
    <t xml:space="preserve"> "Радуга торчества"</t>
  </si>
  <si>
    <t>маленькие шаги в большой танец</t>
  </si>
  <si>
    <t>Золотой сувенир</t>
  </si>
  <si>
    <t>современные ритмы</t>
  </si>
  <si>
    <t>Веселый каблучок</t>
  </si>
  <si>
    <t>Художественная обработка бересты</t>
  </si>
  <si>
    <t>Волшебная кисть</t>
  </si>
  <si>
    <t>Мозайка</t>
  </si>
  <si>
    <t>школа барабанщиц 1г</t>
  </si>
  <si>
    <t>школа барабанщиц 2,3г</t>
  </si>
  <si>
    <t>Арт-терапия</t>
  </si>
  <si>
    <t>юные туристы-краеведы</t>
  </si>
  <si>
    <t>баескетбол</t>
  </si>
  <si>
    <t>Певые шагив робототехнику 2г об.</t>
  </si>
</sst>
</file>

<file path=xl/styles.xml><?xml version="1.0" encoding="utf-8"?>
<styleSheet xmlns="http://schemas.openxmlformats.org/spreadsheetml/2006/main">
  <numFmts count="9">
    <numFmt numFmtId="41" formatCode="_-* #,##0\ _₽_-;\-* #,##0\ _₽_-;_-* &quot;-&quot;\ _₽_-;_-@_-"/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\ &quot;₽&quot;"/>
    <numFmt numFmtId="166" formatCode="#,##0\ &quot;₽&quot;"/>
    <numFmt numFmtId="167" formatCode="0.00_ ;[Red]\-0.00\ "/>
    <numFmt numFmtId="168" formatCode="#,##0.00_ ;[Red]\-#,##0.00\ "/>
    <numFmt numFmtId="169" formatCode="_-* #,##0\ _₽_-;\-* #,##0\ _₽_-;_-* &quot;-&quot;??\ _₽_-;_-@_-"/>
  </numFmts>
  <fonts count="24">
    <font>
      <sz val="12"/>
      <color theme="1"/>
      <name val="Calibri"/>
      <family val="2"/>
      <charset val="204"/>
      <scheme val="minor"/>
    </font>
    <font>
      <sz val="12"/>
      <color indexed="8"/>
      <name val="Calibri"/>
      <family val="2"/>
      <charset val="204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i/>
      <sz val="12"/>
      <color indexed="8"/>
      <name val="Calibri"/>
      <family val="2"/>
    </font>
    <font>
      <sz val="12"/>
      <color indexed="8"/>
      <name val="Calibri"/>
      <family val="2"/>
    </font>
    <font>
      <sz val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12"/>
      <color indexed="10"/>
      <name val="Calibri"/>
      <family val="2"/>
      <charset val="204"/>
    </font>
    <font>
      <i/>
      <sz val="12"/>
      <color indexed="8"/>
      <name val="Calibri"/>
      <family val="2"/>
    </font>
    <font>
      <sz val="10"/>
      <color indexed="10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2"/>
      <color indexed="9"/>
      <name val="Calibri"/>
      <family val="2"/>
    </font>
    <font>
      <sz val="12"/>
      <color indexed="9"/>
      <name val="Calibri"/>
      <family val="2"/>
    </font>
    <font>
      <b/>
      <i/>
      <sz val="12"/>
      <color indexed="8"/>
      <name val="Calibri"/>
      <family val="2"/>
      <charset val="204"/>
    </font>
    <font>
      <vertAlign val="subscript"/>
      <sz val="12"/>
      <color indexed="8"/>
      <name val="Calibri"/>
      <family val="2"/>
      <charset val="204"/>
    </font>
    <font>
      <b/>
      <sz val="12"/>
      <name val="Calibri"/>
      <family val="2"/>
    </font>
    <font>
      <b/>
      <sz val="12"/>
      <color indexed="60"/>
      <name val="Calibri"/>
      <family val="2"/>
    </font>
    <font>
      <sz val="12"/>
      <color indexed="60"/>
      <name val="Calibri"/>
      <family val="2"/>
      <charset val="204"/>
    </font>
    <font>
      <sz val="12"/>
      <name val="Calibri"/>
      <family val="2"/>
    </font>
    <font>
      <i/>
      <sz val="12"/>
      <color indexed="8"/>
      <name val="Calibri"/>
      <family val="2"/>
      <charset val="204"/>
    </font>
    <font>
      <sz val="10"/>
      <color indexed="55"/>
      <name val="Calibri"/>
      <family val="2"/>
      <charset val="204"/>
    </font>
    <font>
      <sz val="12"/>
      <color indexed="36"/>
      <name val="Calibri"/>
      <family val="2"/>
      <charset val="204"/>
    </font>
    <font>
      <sz val="12"/>
      <color indexed="55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0">
    <xf numFmtId="0" fontId="0" fillId="0" borderId="0" xfId="0"/>
    <xf numFmtId="0" fontId="2" fillId="0" borderId="0" xfId="0" applyFont="1" applyAlignment="1">
      <alignment horizontal="left" wrapText="1"/>
    </xf>
    <xf numFmtId="0" fontId="0" fillId="0" borderId="0" xfId="0" applyAlignment="1">
      <alignment wrapText="1"/>
    </xf>
    <xf numFmtId="2" fontId="0" fillId="0" borderId="0" xfId="3" applyNumberFormat="1" applyFont="1" applyAlignment="1">
      <alignment horizontal="center" wrapText="1"/>
    </xf>
    <xf numFmtId="2" fontId="0" fillId="0" borderId="0" xfId="0" applyNumberFormat="1" applyAlignment="1">
      <alignment horizontal="center" wrapText="1"/>
    </xf>
    <xf numFmtId="0" fontId="4" fillId="0" borderId="0" xfId="0" applyFont="1" applyAlignment="1">
      <alignment wrapText="1"/>
    </xf>
    <xf numFmtId="165" fontId="4" fillId="0" borderId="0" xfId="3" applyNumberFormat="1" applyFont="1" applyAlignment="1">
      <alignment horizontal="center" wrapText="1"/>
    </xf>
    <xf numFmtId="0" fontId="0" fillId="0" borderId="0" xfId="0" applyFill="1" applyAlignment="1">
      <alignment wrapText="1"/>
    </xf>
    <xf numFmtId="1" fontId="0" fillId="2" borderId="0" xfId="3" applyNumberFormat="1" applyFont="1" applyFill="1" applyAlignment="1" applyProtection="1">
      <alignment horizontal="center" wrapText="1"/>
      <protection locked="0"/>
    </xf>
    <xf numFmtId="167" fontId="3" fillId="0" borderId="0" xfId="0" applyNumberFormat="1" applyFont="1" applyAlignment="1">
      <alignment horizontal="center" wrapText="1"/>
    </xf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3" fontId="0" fillId="2" borderId="0" xfId="0" applyNumberFormat="1" applyFill="1" applyAlignment="1" applyProtection="1">
      <alignment horizontal="center" wrapText="1"/>
      <protection locked="0"/>
    </xf>
    <xf numFmtId="0" fontId="5" fillId="0" borderId="0" xfId="0" applyFont="1" applyFill="1" applyAlignment="1">
      <alignment wrapText="1"/>
    </xf>
    <xf numFmtId="1" fontId="5" fillId="2" borderId="0" xfId="3" applyNumberFormat="1" applyFont="1" applyFill="1" applyAlignment="1" applyProtection="1">
      <alignment horizontal="center" wrapText="1"/>
      <protection locked="0"/>
    </xf>
    <xf numFmtId="165" fontId="0" fillId="2" borderId="0" xfId="3" applyNumberFormat="1" applyFont="1" applyFill="1" applyProtection="1">
      <protection locked="0"/>
    </xf>
    <xf numFmtId="3" fontId="0" fillId="2" borderId="0" xfId="3" applyNumberFormat="1" applyFont="1" applyFill="1" applyProtection="1">
      <protection locked="0"/>
    </xf>
    <xf numFmtId="3" fontId="4" fillId="0" borderId="0" xfId="3" applyNumberFormat="1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165" fontId="0" fillId="2" borderId="0" xfId="0" applyNumberFormat="1" applyFill="1" applyAlignment="1" applyProtection="1">
      <alignment wrapText="1"/>
      <protection locked="0"/>
    </xf>
    <xf numFmtId="165" fontId="0" fillId="0" borderId="0" xfId="0" applyNumberFormat="1" applyAlignment="1" applyProtection="1">
      <alignment wrapText="1"/>
    </xf>
    <xf numFmtId="165" fontId="0" fillId="0" borderId="0" xfId="0" applyNumberFormat="1" applyFill="1" applyAlignment="1" applyProtection="1">
      <alignment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 wrapText="1"/>
    </xf>
    <xf numFmtId="166" fontId="7" fillId="0" borderId="0" xfId="0" applyNumberFormat="1" applyFont="1" applyAlignment="1">
      <alignment wrapText="1"/>
    </xf>
    <xf numFmtId="3" fontId="7" fillId="2" borderId="0" xfId="0" applyNumberFormat="1" applyFont="1" applyFill="1" applyAlignment="1" applyProtection="1">
      <alignment horizontal="center" wrapText="1"/>
      <protection locked="0"/>
    </xf>
    <xf numFmtId="0" fontId="5" fillId="0" borderId="0" xfId="0" applyFont="1" applyAlignment="1">
      <alignment horizontal="left" wrapText="1"/>
    </xf>
    <xf numFmtId="3" fontId="0" fillId="0" borderId="0" xfId="0" applyNumberFormat="1" applyAlignment="1">
      <alignment wrapText="1"/>
    </xf>
    <xf numFmtId="0" fontId="0" fillId="0" borderId="0" xfId="0" applyAlignment="1">
      <alignment horizontal="left" wrapText="1"/>
    </xf>
    <xf numFmtId="3" fontId="0" fillId="0" borderId="0" xfId="0" applyNumberFormat="1" applyAlignment="1" applyProtection="1">
      <alignment horizontal="center" wrapText="1"/>
      <protection locked="0"/>
    </xf>
    <xf numFmtId="166" fontId="0" fillId="0" borderId="0" xfId="0" applyNumberFormat="1" applyAlignment="1">
      <alignment horizontal="left" wrapText="1"/>
    </xf>
    <xf numFmtId="2" fontId="0" fillId="0" borderId="0" xfId="0" applyNumberFormat="1" applyAlignment="1">
      <alignment horizontal="left" wrapText="1"/>
    </xf>
    <xf numFmtId="165" fontId="0" fillId="0" borderId="0" xfId="0" applyNumberFormat="1" applyAlignment="1">
      <alignment wrapText="1"/>
    </xf>
    <xf numFmtId="0" fontId="9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0" fillId="2" borderId="1" xfId="0" applyFill="1" applyBorder="1" applyProtection="1">
      <protection locked="0"/>
    </xf>
    <xf numFmtId="43" fontId="0" fillId="0" borderId="1" xfId="3" applyFont="1" applyBorder="1" applyAlignment="1">
      <alignment wrapText="1"/>
    </xf>
    <xf numFmtId="43" fontId="0" fillId="0" borderId="1" xfId="0" applyNumberFormat="1" applyBorder="1"/>
    <xf numFmtId="1" fontId="7" fillId="0" borderId="1" xfId="0" applyNumberFormat="1" applyFont="1" applyBorder="1" applyAlignment="1" applyProtection="1">
      <alignment horizontal="center"/>
      <protection locked="0"/>
    </xf>
    <xf numFmtId="43" fontId="7" fillId="0" borderId="1" xfId="0" applyNumberFormat="1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43" fontId="0" fillId="0" borderId="0" xfId="3" applyFont="1" applyAlignment="1">
      <alignment wrapText="1"/>
    </xf>
    <xf numFmtId="0" fontId="0" fillId="0" borderId="0" xfId="0" applyProtection="1">
      <protection locked="0"/>
    </xf>
    <xf numFmtId="1" fontId="0" fillId="0" borderId="0" xfId="0" applyNumberFormat="1" applyProtection="1">
      <protection locked="0"/>
    </xf>
    <xf numFmtId="43" fontId="0" fillId="0" borderId="0" xfId="3" applyFont="1" applyProtection="1">
      <protection locked="0"/>
    </xf>
    <xf numFmtId="0" fontId="7" fillId="3" borderId="0" xfId="0" applyFont="1" applyFill="1" applyAlignment="1">
      <alignment horizontal="left" wrapText="1"/>
    </xf>
    <xf numFmtId="165" fontId="7" fillId="3" borderId="0" xfId="0" applyNumberFormat="1" applyFont="1" applyFill="1" applyAlignment="1">
      <alignment wrapText="1"/>
    </xf>
    <xf numFmtId="0" fontId="3" fillId="0" borderId="1" xfId="0" applyFont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43" fontId="3" fillId="0" borderId="1" xfId="3" applyFont="1" applyBorder="1" applyAlignment="1" applyProtection="1">
      <alignment horizontal="center" vertical="center" wrapText="1"/>
      <protection locked="0"/>
    </xf>
    <xf numFmtId="43" fontId="3" fillId="0" borderId="1" xfId="3" applyFont="1" applyBorder="1" applyAlignment="1">
      <alignment horizontal="center" vertical="center" wrapText="1"/>
    </xf>
    <xf numFmtId="1" fontId="10" fillId="0" borderId="0" xfId="0" applyNumberFormat="1" applyFont="1" applyAlignment="1" applyProtection="1">
      <alignment horizontal="center" vertical="center"/>
      <protection locked="0"/>
    </xf>
    <xf numFmtId="0" fontId="12" fillId="0" borderId="0" xfId="0" applyFont="1" applyAlignment="1">
      <alignment horizontal="center"/>
    </xf>
    <xf numFmtId="0" fontId="13" fillId="0" borderId="0" xfId="0" applyFont="1"/>
    <xf numFmtId="0" fontId="3" fillId="0" borderId="1" xfId="0" applyFont="1" applyBorder="1" applyAlignment="1">
      <alignment wrapText="1"/>
    </xf>
    <xf numFmtId="0" fontId="0" fillId="3" borderId="1" xfId="0" applyFill="1" applyBorder="1" applyAlignment="1" applyProtection="1">
      <alignment horizontal="center" wrapText="1"/>
      <protection locked="0"/>
    </xf>
    <xf numFmtId="0" fontId="0" fillId="0" borderId="2" xfId="0" applyBorder="1" applyAlignment="1">
      <alignment horizontal="center" wrapText="1"/>
    </xf>
    <xf numFmtId="3" fontId="0" fillId="3" borderId="0" xfId="0" applyNumberFormat="1" applyFill="1" applyAlignment="1" applyProtection="1">
      <alignment horizont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left" wrapText="1"/>
    </xf>
    <xf numFmtId="165" fontId="7" fillId="3" borderId="1" xfId="3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43" fontId="0" fillId="2" borderId="1" xfId="3" applyFont="1" applyFill="1" applyBorder="1" applyAlignment="1" applyProtection="1">
      <alignment horizontal="center"/>
      <protection locked="0"/>
    </xf>
    <xf numFmtId="165" fontId="0" fillId="3" borderId="1" xfId="0" applyNumberFormat="1" applyFill="1" applyBorder="1" applyAlignment="1" applyProtection="1">
      <alignment wrapText="1"/>
      <protection locked="0"/>
    </xf>
    <xf numFmtId="165" fontId="0" fillId="3" borderId="1" xfId="3" applyNumberFormat="1" applyFont="1" applyFill="1" applyBorder="1" applyAlignment="1" applyProtection="1">
      <alignment horizontal="center"/>
      <protection locked="0"/>
    </xf>
    <xf numFmtId="3" fontId="0" fillId="2" borderId="1" xfId="3" applyNumberFormat="1" applyFont="1" applyFill="1" applyBorder="1" applyAlignment="1" applyProtection="1">
      <alignment horizontal="center"/>
      <protection locked="0"/>
    </xf>
    <xf numFmtId="165" fontId="0" fillId="0" borderId="1" xfId="0" applyNumberFormat="1" applyBorder="1" applyAlignment="1">
      <alignment horizontal="center" wrapText="1"/>
    </xf>
    <xf numFmtId="3" fontId="7" fillId="3" borderId="1" xfId="3" applyNumberFormat="1" applyFont="1" applyFill="1" applyBorder="1" applyAlignment="1" applyProtection="1">
      <alignment horizontal="center"/>
      <protection locked="0"/>
    </xf>
    <xf numFmtId="165" fontId="7" fillId="3" borderId="1" xfId="0" applyNumberFormat="1" applyFont="1" applyFill="1" applyBorder="1" applyAlignment="1">
      <alignment horizontal="center" wrapText="1"/>
    </xf>
    <xf numFmtId="49" fontId="5" fillId="3" borderId="0" xfId="0" applyNumberFormat="1" applyFont="1" applyFill="1" applyAlignment="1">
      <alignment horizontal="right" wrapText="1"/>
    </xf>
    <xf numFmtId="0" fontId="0" fillId="3" borderId="0" xfId="0" applyFont="1" applyFill="1" applyAlignment="1">
      <alignment wrapText="1"/>
    </xf>
    <xf numFmtId="0" fontId="3" fillId="0" borderId="0" xfId="0" applyFont="1" applyAlignment="1">
      <alignment horizontal="center" vertical="center" wrapText="1"/>
    </xf>
    <xf numFmtId="3" fontId="0" fillId="2" borderId="0" xfId="0" applyNumberFormat="1" applyFill="1" applyAlignment="1" applyProtection="1">
      <alignment horizontal="center" vertical="center" wrapText="1"/>
      <protection locked="0"/>
    </xf>
    <xf numFmtId="1" fontId="0" fillId="2" borderId="0" xfId="0" applyNumberFormat="1" applyFill="1" applyAlignment="1" applyProtection="1">
      <alignment horizontal="center" vertical="center" wrapText="1"/>
      <protection locked="0"/>
    </xf>
    <xf numFmtId="165" fontId="0" fillId="3" borderId="0" xfId="0" applyNumberFormat="1" applyFill="1" applyAlignment="1">
      <alignment wrapText="1"/>
    </xf>
    <xf numFmtId="4" fontId="0" fillId="2" borderId="0" xfId="0" applyNumberFormat="1" applyFill="1" applyAlignment="1" applyProtection="1">
      <alignment horizontal="center" wrapText="1"/>
      <protection locked="0"/>
    </xf>
    <xf numFmtId="43" fontId="16" fillId="0" borderId="1" xfId="3" applyFont="1" applyBorder="1" applyAlignment="1">
      <alignment horizontal="center" vertical="center" wrapText="1"/>
    </xf>
    <xf numFmtId="43" fontId="17" fillId="0" borderId="1" xfId="3" applyFont="1" applyBorder="1" applyAlignment="1">
      <alignment horizontal="center" vertical="center" wrapText="1"/>
    </xf>
    <xf numFmtId="43" fontId="18" fillId="0" borderId="1" xfId="0" applyNumberFormat="1" applyFont="1" applyBorder="1"/>
    <xf numFmtId="43" fontId="19" fillId="0" borderId="0" xfId="0" applyNumberFormat="1" applyFont="1"/>
    <xf numFmtId="9" fontId="19" fillId="0" borderId="0" xfId="2" applyFont="1"/>
    <xf numFmtId="0" fontId="20" fillId="0" borderId="0" xfId="0" applyFont="1" applyAlignment="1">
      <alignment horizontal="left" wrapText="1"/>
    </xf>
    <xf numFmtId="4" fontId="0" fillId="0" borderId="0" xfId="0" applyNumberFormat="1" applyFill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center" wrapText="1"/>
      <protection locked="0"/>
    </xf>
    <xf numFmtId="0" fontId="2" fillId="0" borderId="0" xfId="0" applyFont="1" applyFill="1" applyAlignment="1">
      <alignment horizontal="center" wrapText="1"/>
    </xf>
    <xf numFmtId="0" fontId="7" fillId="0" borderId="0" xfId="0" applyFont="1" applyBorder="1" applyAlignment="1" applyProtection="1">
      <alignment horizontal="center"/>
      <protection locked="0"/>
    </xf>
    <xf numFmtId="41" fontId="0" fillId="0" borderId="1" xfId="3" applyNumberFormat="1" applyFont="1" applyBorder="1" applyAlignment="1">
      <alignment wrapText="1"/>
    </xf>
    <xf numFmtId="169" fontId="7" fillId="0" borderId="1" xfId="0" applyNumberFormat="1" applyFont="1" applyBorder="1" applyAlignment="1" applyProtection="1">
      <alignment horizontal="center"/>
      <protection locked="0"/>
    </xf>
    <xf numFmtId="165" fontId="0" fillId="0" borderId="1" xfId="0" applyNumberFormat="1" applyFill="1" applyBorder="1" applyAlignment="1">
      <alignment horizontal="center" wrapText="1"/>
    </xf>
    <xf numFmtId="165" fontId="7" fillId="0" borderId="1" xfId="0" applyNumberFormat="1" applyFont="1" applyFill="1" applyBorder="1" applyAlignment="1">
      <alignment horizontal="center" wrapText="1"/>
    </xf>
    <xf numFmtId="3" fontId="0" fillId="3" borderId="0" xfId="0" applyNumberFormat="1" applyFill="1" applyBorder="1" applyAlignment="1" applyProtection="1">
      <alignment horizontal="center" wrapText="1"/>
      <protection locked="0"/>
    </xf>
    <xf numFmtId="0" fontId="4" fillId="3" borderId="3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3" fontId="7" fillId="0" borderId="1" xfId="3" applyNumberFormat="1" applyFont="1" applyFill="1" applyBorder="1" applyAlignment="1" applyProtection="1">
      <alignment horizontal="center" vertical="center"/>
      <protection locked="0"/>
    </xf>
    <xf numFmtId="165" fontId="0" fillId="0" borderId="1" xfId="0" applyNumberFormat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0" xfId="0" applyBorder="1" applyAlignment="1">
      <alignment wrapText="1"/>
    </xf>
    <xf numFmtId="44" fontId="0" fillId="2" borderId="1" xfId="1" applyFont="1" applyFill="1" applyBorder="1" applyAlignment="1">
      <alignment horizontal="center" wrapText="1"/>
    </xf>
    <xf numFmtId="44" fontId="7" fillId="2" borderId="5" xfId="1" applyFont="1" applyFill="1" applyBorder="1" applyAlignment="1" applyProtection="1">
      <alignment horizontal="center"/>
      <protection locked="0"/>
    </xf>
    <xf numFmtId="0" fontId="23" fillId="0" borderId="0" xfId="0" applyFont="1" applyAlignment="1">
      <alignment wrapText="1"/>
    </xf>
    <xf numFmtId="3" fontId="23" fillId="0" borderId="0" xfId="0" applyNumberFormat="1" applyFont="1" applyAlignment="1">
      <alignment wrapText="1"/>
    </xf>
    <xf numFmtId="165" fontId="0" fillId="0" borderId="1" xfId="0" applyNumberFormat="1" applyFill="1" applyBorder="1" applyAlignment="1">
      <alignment wrapText="1"/>
    </xf>
    <xf numFmtId="0" fontId="7" fillId="3" borderId="1" xfId="0" applyFont="1" applyFill="1" applyBorder="1" applyAlignment="1">
      <alignment horizontal="center" vertical="center" wrapText="1"/>
    </xf>
    <xf numFmtId="0" fontId="7" fillId="2" borderId="0" xfId="0" applyFont="1" applyFill="1" applyAlignment="1" applyProtection="1">
      <alignment horizontal="center" wrapText="1"/>
      <protection locked="0"/>
    </xf>
    <xf numFmtId="10" fontId="0" fillId="3" borderId="0" xfId="2" applyNumberFormat="1" applyFont="1" applyFill="1" applyAlignment="1">
      <alignment horizontal="center" wrapText="1"/>
    </xf>
    <xf numFmtId="2" fontId="0" fillId="0" borderId="0" xfId="0" applyNumberFormat="1" applyAlignment="1">
      <alignment wrapText="1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1" fontId="0" fillId="0" borderId="1" xfId="0" applyNumberFormat="1" applyFill="1" applyBorder="1" applyAlignment="1" applyProtection="1">
      <alignment horizontal="center"/>
      <protection locked="0"/>
    </xf>
    <xf numFmtId="43" fontId="0" fillId="0" borderId="1" xfId="3" applyFont="1" applyFill="1" applyBorder="1" applyAlignment="1" applyProtection="1">
      <alignment horizontal="center"/>
      <protection locked="0"/>
    </xf>
    <xf numFmtId="43" fontId="0" fillId="0" borderId="1" xfId="3" applyFont="1" applyFill="1" applyBorder="1" applyAlignment="1">
      <alignment wrapText="1"/>
    </xf>
    <xf numFmtId="43" fontId="0" fillId="0" borderId="1" xfId="0" applyNumberFormat="1" applyFill="1" applyBorder="1"/>
    <xf numFmtId="41" fontId="0" fillId="0" borderId="1" xfId="3" applyNumberFormat="1" applyFont="1" applyFill="1" applyBorder="1" applyAlignment="1">
      <alignment wrapText="1"/>
    </xf>
    <xf numFmtId="43" fontId="18" fillId="0" borderId="1" xfId="0" applyNumberFormat="1" applyFont="1" applyFill="1" applyBorder="1"/>
    <xf numFmtId="0" fontId="13" fillId="0" borderId="0" xfId="0" applyFont="1" applyFill="1"/>
    <xf numFmtId="0" fontId="0" fillId="0" borderId="0" xfId="0" applyFill="1"/>
    <xf numFmtId="44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2" fontId="0" fillId="4" borderId="0" xfId="0" applyNumberFormat="1" applyFill="1" applyAlignment="1">
      <alignment wrapText="1"/>
    </xf>
    <xf numFmtId="165" fontId="0" fillId="4" borderId="0" xfId="0" applyNumberFormat="1" applyFill="1" applyAlignment="1">
      <alignment wrapText="1"/>
    </xf>
    <xf numFmtId="164" fontId="0" fillId="5" borderId="0" xfId="0" applyNumberFormat="1" applyFill="1" applyAlignment="1">
      <alignment wrapText="1"/>
    </xf>
    <xf numFmtId="165" fontId="0" fillId="5" borderId="0" xfId="0" applyNumberFormat="1" applyFill="1" applyAlignment="1">
      <alignment wrapText="1"/>
    </xf>
    <xf numFmtId="49" fontId="0" fillId="0" borderId="1" xfId="0" applyNumberFormat="1" applyFill="1" applyBorder="1" applyAlignment="1" applyProtection="1">
      <alignment wrapText="1"/>
      <protection locked="0"/>
    </xf>
    <xf numFmtId="0" fontId="4" fillId="0" borderId="0" xfId="0" applyFont="1" applyAlignment="1">
      <alignment horizontal="center" wrapText="1"/>
    </xf>
    <xf numFmtId="2" fontId="8" fillId="0" borderId="0" xfId="3" applyNumberFormat="1" applyFont="1" applyAlignment="1">
      <alignment horizontal="center" wrapText="1"/>
    </xf>
    <xf numFmtId="0" fontId="0" fillId="2" borderId="0" xfId="0" applyFill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0" fontId="3" fillId="0" borderId="0" xfId="0" applyFont="1" applyAlignment="1">
      <alignment horizontal="center" wrapText="1"/>
    </xf>
    <xf numFmtId="167" fontId="5" fillId="0" borderId="0" xfId="0" applyNumberFormat="1" applyFont="1" applyAlignment="1">
      <alignment horizontal="center" wrapText="1"/>
    </xf>
    <xf numFmtId="0" fontId="7" fillId="3" borderId="0" xfId="0" applyFont="1" applyFill="1" applyAlignment="1" applyProtection="1">
      <alignment horizontal="center" wrapText="1"/>
      <protection locked="0"/>
    </xf>
    <xf numFmtId="0" fontId="7" fillId="0" borderId="6" xfId="0" applyFont="1" applyBorder="1" applyAlignment="1" applyProtection="1">
      <alignment horizontal="center"/>
      <protection locked="0"/>
    </xf>
    <xf numFmtId="43" fontId="21" fillId="0" borderId="0" xfId="3" applyFont="1" applyAlignment="1">
      <alignment horizontal="center" wrapText="1"/>
    </xf>
    <xf numFmtId="49" fontId="11" fillId="0" borderId="0" xfId="3" applyNumberFormat="1" applyFont="1" applyAlignment="1">
      <alignment horizontal="center" wrapText="1"/>
    </xf>
    <xf numFmtId="2" fontId="0" fillId="0" borderId="5" xfId="0" applyNumberFormat="1" applyBorder="1" applyAlignment="1">
      <alignment horizontal="center" wrapText="1"/>
    </xf>
    <xf numFmtId="2" fontId="0" fillId="0" borderId="7" xfId="0" applyNumberForma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168" fontId="7" fillId="3" borderId="1" xfId="0" applyNumberFormat="1" applyFont="1" applyFill="1" applyBorder="1" applyAlignment="1">
      <alignment horizontal="center" wrapText="1"/>
    </xf>
    <xf numFmtId="0" fontId="0" fillId="3" borderId="5" xfId="0" applyFill="1" applyBorder="1" applyAlignment="1" applyProtection="1">
      <alignment horizontal="center" wrapText="1"/>
      <protection locked="0"/>
    </xf>
    <xf numFmtId="0" fontId="0" fillId="3" borderId="7" xfId="0" applyFill="1" applyBorder="1" applyAlignment="1" applyProtection="1">
      <alignment horizontal="center" wrapText="1"/>
      <protection locked="0"/>
    </xf>
    <xf numFmtId="0" fontId="0" fillId="3" borderId="1" xfId="0" applyFill="1" applyBorder="1" applyAlignment="1" applyProtection="1">
      <alignment horizontal="center" wrapText="1"/>
      <protection locked="0"/>
    </xf>
    <xf numFmtId="2" fontId="0" fillId="0" borderId="1" xfId="0" applyNumberFormat="1" applyBorder="1" applyAlignment="1">
      <alignment horizontal="center" wrapText="1"/>
    </xf>
    <xf numFmtId="2" fontId="0" fillId="0" borderId="5" xfId="0" applyNumberFormat="1" applyBorder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 wrapText="1"/>
    </xf>
    <xf numFmtId="2" fontId="0" fillId="0" borderId="7" xfId="0" applyNumberFormat="1" applyBorder="1" applyAlignment="1">
      <alignment horizontal="center" vertical="center" wrapText="1"/>
    </xf>
  </cellXfs>
  <cellStyles count="4">
    <cellStyle name="Денежный" xfId="1" builtinId="4"/>
    <cellStyle name="Обычный" xfId="0" builtinId="0"/>
    <cellStyle name="Процентный" xfId="2" builtinId="5"/>
    <cellStyle name="Финансовый" xfId="3" builtin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14</xdr:row>
      <xdr:rowOff>228600</xdr:rowOff>
    </xdr:from>
    <xdr:to>
      <xdr:col>2</xdr:col>
      <xdr:colOff>0</xdr:colOff>
      <xdr:row>15</xdr:row>
      <xdr:rowOff>0</xdr:rowOff>
    </xdr:to>
    <xdr:pic>
      <xdr:nvPicPr>
        <xdr:cNvPr id="2049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247900" y="605790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219075</xdr:colOff>
      <xdr:row>13</xdr:row>
      <xdr:rowOff>200025</xdr:rowOff>
    </xdr:from>
    <xdr:to>
      <xdr:col>1</xdr:col>
      <xdr:colOff>571500</xdr:colOff>
      <xdr:row>13</xdr:row>
      <xdr:rowOff>428625</xdr:rowOff>
    </xdr:to>
    <xdr:pic>
      <xdr:nvPicPr>
        <xdr:cNvPr id="2050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228850" y="5457825"/>
          <a:ext cx="3524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142875</xdr:colOff>
      <xdr:row>6</xdr:row>
      <xdr:rowOff>190500</xdr:rowOff>
    </xdr:from>
    <xdr:to>
      <xdr:col>1</xdr:col>
      <xdr:colOff>342900</xdr:colOff>
      <xdr:row>6</xdr:row>
      <xdr:rowOff>390525</xdr:rowOff>
    </xdr:to>
    <xdr:pic>
      <xdr:nvPicPr>
        <xdr:cNvPr id="2051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152650" y="2876550"/>
          <a:ext cx="2000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228600</xdr:colOff>
      <xdr:row>2</xdr:row>
      <xdr:rowOff>114300</xdr:rowOff>
    </xdr:from>
    <xdr:to>
      <xdr:col>1</xdr:col>
      <xdr:colOff>609600</xdr:colOff>
      <xdr:row>2</xdr:row>
      <xdr:rowOff>314325</xdr:rowOff>
    </xdr:to>
    <xdr:pic>
      <xdr:nvPicPr>
        <xdr:cNvPr id="2052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238375" y="981075"/>
          <a:ext cx="381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219075</xdr:colOff>
      <xdr:row>5</xdr:row>
      <xdr:rowOff>238125</xdr:rowOff>
    </xdr:from>
    <xdr:to>
      <xdr:col>1</xdr:col>
      <xdr:colOff>571500</xdr:colOff>
      <xdr:row>5</xdr:row>
      <xdr:rowOff>466725</xdr:rowOff>
    </xdr:to>
    <xdr:pic>
      <xdr:nvPicPr>
        <xdr:cNvPr id="2053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228850" y="2324100"/>
          <a:ext cx="3524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3</xdr:row>
      <xdr:rowOff>219075</xdr:rowOff>
    </xdr:from>
    <xdr:to>
      <xdr:col>1</xdr:col>
      <xdr:colOff>600075</xdr:colOff>
      <xdr:row>3</xdr:row>
      <xdr:rowOff>428625</xdr:rowOff>
    </xdr:to>
    <xdr:pic>
      <xdr:nvPicPr>
        <xdr:cNvPr id="2054" name="Рисунок 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209800" y="1524000"/>
          <a:ext cx="40005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4</xdr:row>
      <xdr:rowOff>142875</xdr:rowOff>
    </xdr:from>
    <xdr:to>
      <xdr:col>1</xdr:col>
      <xdr:colOff>581025</xdr:colOff>
      <xdr:row>4</xdr:row>
      <xdr:rowOff>390525</xdr:rowOff>
    </xdr:to>
    <xdr:pic>
      <xdr:nvPicPr>
        <xdr:cNvPr id="2055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209800" y="1828800"/>
          <a:ext cx="3810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29"/>
  <sheetViews>
    <sheetView tabSelected="1" view="pageBreakPreview" zoomScale="107" zoomScaleSheetLayoutView="107" workbookViewId="0">
      <selection activeCell="B18" sqref="B18"/>
    </sheetView>
  </sheetViews>
  <sheetFormatPr defaultColWidth="10.875" defaultRowHeight="15.75"/>
  <cols>
    <col min="1" max="1" width="36.5" style="2" customWidth="1"/>
    <col min="2" max="2" width="16" style="2" customWidth="1"/>
    <col min="3" max="3" width="15.875" style="2" customWidth="1"/>
    <col min="4" max="4" width="15.875" style="2" bestFit="1" customWidth="1"/>
    <col min="5" max="5" width="14.625" style="2" bestFit="1" customWidth="1"/>
    <col min="6" max="6" width="17.125" style="2" customWidth="1"/>
    <col min="7" max="7" width="13.625" style="2" customWidth="1"/>
    <col min="8" max="8" width="18.125" style="2" hidden="1" customWidth="1"/>
    <col min="9" max="31" width="13.375" style="2" hidden="1" customWidth="1"/>
    <col min="32" max="16384" width="10.875" style="2"/>
  </cols>
  <sheetData>
    <row r="1" spans="1:31" ht="63">
      <c r="A1" s="75" t="s">
        <v>0</v>
      </c>
      <c r="B1" s="9" t="s">
        <v>92</v>
      </c>
      <c r="C1" s="9" t="s">
        <v>24</v>
      </c>
      <c r="D1" s="11" t="s">
        <v>15</v>
      </c>
      <c r="E1" s="9" t="s">
        <v>25</v>
      </c>
      <c r="F1" s="9" t="s">
        <v>16</v>
      </c>
      <c r="G1" s="9" t="s">
        <v>17</v>
      </c>
    </row>
    <row r="2" spans="1:31">
      <c r="A2" s="108" t="s">
        <v>93</v>
      </c>
      <c r="B2" s="12">
        <v>2352</v>
      </c>
      <c r="C2" s="10">
        <v>0.75</v>
      </c>
      <c r="D2" s="26">
        <v>1764</v>
      </c>
      <c r="E2" s="109">
        <v>0.25</v>
      </c>
      <c r="F2" s="26">
        <v>588</v>
      </c>
      <c r="G2" s="25">
        <f>F2*E19</f>
        <v>10101840</v>
      </c>
    </row>
    <row r="3" spans="1:31">
      <c r="A3" s="7"/>
      <c r="D3" s="22" t="str">
        <f>IF(D2&lt;B2*C2,"Охват недостаточен"," ")</f>
        <v xml:space="preserve"> </v>
      </c>
      <c r="F3" s="23" t="str">
        <f>IF(F2&lt;B2*E2,"Охват недостаточен"," ")</f>
        <v xml:space="preserve"> </v>
      </c>
    </row>
    <row r="4" spans="1:31" ht="31.5">
      <c r="A4" s="74" t="s">
        <v>50</v>
      </c>
      <c r="B4" s="131" t="s">
        <v>94</v>
      </c>
      <c r="C4" s="131"/>
      <c r="D4" s="131" t="s">
        <v>95</v>
      </c>
      <c r="E4" s="131"/>
      <c r="F4" s="131"/>
      <c r="G4" s="131"/>
      <c r="H4" s="131" t="s">
        <v>2</v>
      </c>
      <c r="I4" s="131"/>
      <c r="J4" s="131" t="s">
        <v>3</v>
      </c>
      <c r="K4" s="131"/>
      <c r="L4" s="131" t="s">
        <v>4</v>
      </c>
      <c r="M4" s="131"/>
      <c r="N4" s="131" t="s">
        <v>5</v>
      </c>
      <c r="O4" s="131"/>
      <c r="P4" s="131" t="s">
        <v>6</v>
      </c>
      <c r="Q4" s="131"/>
      <c r="R4" s="131" t="s">
        <v>7</v>
      </c>
      <c r="S4" s="131"/>
      <c r="T4" s="131" t="s">
        <v>8</v>
      </c>
      <c r="U4" s="131"/>
      <c r="V4" s="131" t="s">
        <v>19</v>
      </c>
      <c r="W4" s="131"/>
      <c r="X4" s="131" t="s">
        <v>20</v>
      </c>
      <c r="Y4" s="131"/>
      <c r="Z4" s="131" t="s">
        <v>21</v>
      </c>
      <c r="AA4" s="131"/>
      <c r="AB4" s="131" t="s">
        <v>22</v>
      </c>
      <c r="AC4" s="131"/>
      <c r="AD4" s="131" t="s">
        <v>23</v>
      </c>
      <c r="AE4" s="131"/>
    </row>
    <row r="5" spans="1:31">
      <c r="A5" s="73" t="s">
        <v>56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</row>
    <row r="6" spans="1:31" ht="31.5">
      <c r="A6" s="13" t="s">
        <v>60</v>
      </c>
      <c r="B6" s="19">
        <v>0</v>
      </c>
      <c r="C6" s="21"/>
      <c r="D6" s="19">
        <v>2279000</v>
      </c>
      <c r="E6" s="21"/>
      <c r="F6" s="19"/>
      <c r="G6" s="21"/>
      <c r="H6" s="19"/>
      <c r="I6" s="21"/>
      <c r="J6" s="19"/>
      <c r="K6" s="21"/>
      <c r="L6" s="19"/>
      <c r="M6" s="20"/>
      <c r="N6" s="19"/>
      <c r="O6" s="20"/>
      <c r="P6" s="19"/>
      <c r="Q6" s="20"/>
      <c r="R6" s="19"/>
      <c r="S6" s="20"/>
      <c r="T6" s="19"/>
      <c r="U6" s="20"/>
      <c r="V6" s="19"/>
      <c r="W6" s="20"/>
      <c r="X6" s="19"/>
      <c r="Y6" s="20"/>
      <c r="Z6" s="19"/>
      <c r="AA6" s="20"/>
      <c r="AB6" s="19"/>
      <c r="AC6" s="20"/>
      <c r="AD6" s="19"/>
      <c r="AE6" s="20"/>
    </row>
    <row r="7" spans="1:31" ht="15.95" customHeight="1">
      <c r="A7" s="132" t="s">
        <v>61</v>
      </c>
      <c r="B7" s="133" t="s">
        <v>52</v>
      </c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</row>
    <row r="8" spans="1:31" s="18" customFormat="1" ht="78.75">
      <c r="A8" s="132"/>
      <c r="B8" s="18" t="s">
        <v>57</v>
      </c>
      <c r="C8" s="18" t="s">
        <v>58</v>
      </c>
      <c r="D8" s="18" t="s">
        <v>57</v>
      </c>
      <c r="E8" s="18" t="s">
        <v>58</v>
      </c>
      <c r="F8" s="18" t="s">
        <v>57</v>
      </c>
      <c r="G8" s="18" t="s">
        <v>58</v>
      </c>
      <c r="H8" s="18" t="s">
        <v>57</v>
      </c>
      <c r="I8" s="18" t="s">
        <v>58</v>
      </c>
      <c r="J8" s="18" t="s">
        <v>57</v>
      </c>
      <c r="K8" s="18" t="s">
        <v>58</v>
      </c>
      <c r="L8" s="18" t="s">
        <v>57</v>
      </c>
      <c r="M8" s="18" t="s">
        <v>58</v>
      </c>
      <c r="N8" s="18" t="s">
        <v>57</v>
      </c>
      <c r="O8" s="18" t="s">
        <v>58</v>
      </c>
      <c r="P8" s="18" t="s">
        <v>57</v>
      </c>
      <c r="Q8" s="18" t="s">
        <v>58</v>
      </c>
      <c r="R8" s="18" t="s">
        <v>57</v>
      </c>
      <c r="S8" s="18" t="s">
        <v>58</v>
      </c>
      <c r="T8" s="18" t="s">
        <v>57</v>
      </c>
      <c r="U8" s="18" t="s">
        <v>58</v>
      </c>
      <c r="V8" s="18" t="s">
        <v>57</v>
      </c>
      <c r="W8" s="18" t="s">
        <v>58</v>
      </c>
      <c r="X8" s="18" t="s">
        <v>57</v>
      </c>
      <c r="Y8" s="18" t="s">
        <v>58</v>
      </c>
      <c r="Z8" s="18" t="s">
        <v>57</v>
      </c>
      <c r="AA8" s="18" t="s">
        <v>58</v>
      </c>
      <c r="AB8" s="18" t="s">
        <v>57</v>
      </c>
      <c r="AC8" s="18" t="s">
        <v>58</v>
      </c>
      <c r="AD8" s="18" t="s">
        <v>57</v>
      </c>
      <c r="AE8" s="18" t="s">
        <v>58</v>
      </c>
    </row>
    <row r="9" spans="1:31">
      <c r="A9" s="1" t="s">
        <v>9</v>
      </c>
      <c r="B9" s="15">
        <v>117.19</v>
      </c>
      <c r="C9" s="16">
        <v>6932</v>
      </c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</row>
    <row r="10" spans="1:31">
      <c r="A10" s="1" t="s">
        <v>10</v>
      </c>
      <c r="B10" s="15"/>
      <c r="C10" s="16"/>
      <c r="D10" s="15"/>
      <c r="E10" s="16"/>
      <c r="F10" s="15"/>
      <c r="G10" s="16"/>
      <c r="H10" s="15"/>
      <c r="I10" s="16"/>
      <c r="J10" s="15"/>
      <c r="K10" s="16"/>
      <c r="L10" s="15"/>
      <c r="M10" s="16"/>
      <c r="N10" s="15"/>
      <c r="O10" s="16"/>
      <c r="P10" s="15"/>
      <c r="Q10" s="16"/>
      <c r="R10" s="15"/>
      <c r="S10" s="16"/>
      <c r="T10" s="15"/>
      <c r="U10" s="16"/>
      <c r="V10" s="15"/>
      <c r="W10" s="16"/>
      <c r="X10" s="15"/>
      <c r="Y10" s="16"/>
      <c r="Z10" s="15"/>
      <c r="AA10" s="16"/>
      <c r="AB10" s="15"/>
      <c r="AC10" s="16"/>
      <c r="AD10" s="15"/>
      <c r="AE10" s="16"/>
    </row>
    <row r="11" spans="1:31">
      <c r="A11" s="1" t="s">
        <v>11</v>
      </c>
      <c r="B11" s="15">
        <v>117.19</v>
      </c>
      <c r="C11" s="16">
        <v>15180</v>
      </c>
      <c r="D11" s="15"/>
      <c r="E11" s="16"/>
      <c r="F11" s="15"/>
      <c r="G11" s="16"/>
      <c r="H11" s="15"/>
      <c r="I11" s="16"/>
      <c r="J11" s="15"/>
      <c r="K11" s="16"/>
      <c r="L11" s="15"/>
      <c r="M11" s="16"/>
      <c r="N11" s="15"/>
      <c r="O11" s="16"/>
      <c r="P11" s="15"/>
      <c r="Q11" s="16"/>
      <c r="R11" s="15"/>
      <c r="S11" s="16"/>
      <c r="T11" s="15"/>
      <c r="U11" s="16"/>
      <c r="V11" s="15"/>
      <c r="W11" s="16"/>
      <c r="X11" s="15"/>
      <c r="Y11" s="16"/>
      <c r="Z11" s="15"/>
      <c r="AA11" s="16"/>
      <c r="AB11" s="15"/>
      <c r="AC11" s="16"/>
      <c r="AD11" s="15"/>
      <c r="AE11" s="16"/>
    </row>
    <row r="12" spans="1:31">
      <c r="A12" s="1" t="s">
        <v>12</v>
      </c>
      <c r="B12" s="15">
        <v>117.19</v>
      </c>
      <c r="C12" s="16">
        <v>1512</v>
      </c>
      <c r="D12" s="15"/>
      <c r="E12" s="16"/>
      <c r="F12" s="15"/>
      <c r="G12" s="16"/>
      <c r="H12" s="15"/>
      <c r="I12" s="16"/>
      <c r="J12" s="15"/>
      <c r="K12" s="16"/>
      <c r="L12" s="15"/>
      <c r="M12" s="16"/>
      <c r="N12" s="15"/>
      <c r="O12" s="16"/>
      <c r="P12" s="15"/>
      <c r="Q12" s="16"/>
      <c r="R12" s="15"/>
      <c r="S12" s="16"/>
      <c r="T12" s="15"/>
      <c r="U12" s="16"/>
      <c r="V12" s="15"/>
      <c r="W12" s="16"/>
      <c r="X12" s="15"/>
      <c r="Y12" s="16"/>
      <c r="Z12" s="15"/>
      <c r="AA12" s="16"/>
      <c r="AB12" s="15"/>
      <c r="AC12" s="16"/>
      <c r="AD12" s="15"/>
      <c r="AE12" s="16"/>
    </row>
    <row r="13" spans="1:31">
      <c r="A13" s="1" t="s">
        <v>13</v>
      </c>
      <c r="B13" s="15"/>
      <c r="C13" s="16"/>
      <c r="D13" s="15">
        <v>212.97</v>
      </c>
      <c r="E13" s="16">
        <v>15660</v>
      </c>
      <c r="F13" s="15"/>
      <c r="G13" s="16"/>
      <c r="H13" s="15"/>
      <c r="I13" s="16"/>
      <c r="J13" s="15"/>
      <c r="K13" s="16"/>
      <c r="L13" s="15"/>
      <c r="M13" s="16"/>
      <c r="N13" s="15"/>
      <c r="O13" s="16"/>
      <c r="P13" s="15"/>
      <c r="Q13" s="16"/>
      <c r="R13" s="15"/>
      <c r="S13" s="16"/>
      <c r="T13" s="15"/>
      <c r="U13" s="16"/>
      <c r="V13" s="15"/>
      <c r="W13" s="16"/>
      <c r="X13" s="15"/>
      <c r="Y13" s="16"/>
      <c r="Z13" s="15"/>
      <c r="AA13" s="16"/>
      <c r="AB13" s="15"/>
      <c r="AC13" s="16"/>
      <c r="AD13" s="15"/>
      <c r="AE13" s="16"/>
    </row>
    <row r="14" spans="1:31">
      <c r="A14" s="1" t="s">
        <v>59</v>
      </c>
      <c r="B14" s="15">
        <v>117.19</v>
      </c>
      <c r="C14" s="16">
        <v>13854</v>
      </c>
      <c r="D14" s="15"/>
      <c r="E14" s="16"/>
      <c r="F14" s="15"/>
      <c r="G14" s="16"/>
      <c r="H14" s="15"/>
      <c r="I14" s="16"/>
      <c r="J14" s="15"/>
      <c r="K14" s="16"/>
      <c r="L14" s="15"/>
      <c r="M14" s="16"/>
      <c r="N14" s="15"/>
      <c r="O14" s="16"/>
      <c r="P14" s="15"/>
      <c r="Q14" s="16"/>
      <c r="R14" s="15"/>
      <c r="S14" s="16"/>
      <c r="T14" s="15"/>
      <c r="U14" s="16"/>
      <c r="V14" s="15"/>
      <c r="W14" s="16"/>
      <c r="X14" s="15"/>
      <c r="Y14" s="16"/>
      <c r="Z14" s="15"/>
      <c r="AA14" s="16"/>
      <c r="AB14" s="15"/>
      <c r="AC14" s="16"/>
      <c r="AD14" s="15"/>
      <c r="AE14" s="16"/>
    </row>
    <row r="15" spans="1:31" ht="31.5">
      <c r="A15" s="5" t="s">
        <v>62</v>
      </c>
      <c r="B15" s="6"/>
      <c r="C15" s="17">
        <v>13212000</v>
      </c>
      <c r="D15" s="6"/>
      <c r="E15" s="17">
        <v>9256400</v>
      </c>
      <c r="F15" s="6"/>
      <c r="G15" s="17"/>
      <c r="H15" s="6"/>
      <c r="I15" s="17">
        <f>H9*I9+H10*I10+H11*I11+H12*I12+H13*I13+H14*I14</f>
        <v>0</v>
      </c>
      <c r="J15" s="6"/>
      <c r="K15" s="17">
        <f>J9*K9+J10*K10+J11*K11+J12*K12+J13*K13+J14*K14</f>
        <v>0</v>
      </c>
      <c r="L15" s="6"/>
      <c r="M15" s="17">
        <f>L9*M9+L10*M10+L11*M11+L12*M12+L13*M13+L14*M14</f>
        <v>0</v>
      </c>
      <c r="N15" s="6"/>
      <c r="O15" s="17">
        <f>N9*O9+N10*O10+N11*O11+N12*O12+N13*O13+N14*O14</f>
        <v>0</v>
      </c>
      <c r="P15" s="6"/>
      <c r="Q15" s="17">
        <f>P9*Q9+P10*Q10+P11*Q11+P12*Q12+P13*Q13+P14*Q14</f>
        <v>0</v>
      </c>
      <c r="R15" s="6"/>
      <c r="S15" s="17">
        <f>R9*S9+R10*S10+R11*S11+R12*S12+R13*S13+R14*S14</f>
        <v>0</v>
      </c>
      <c r="T15" s="6"/>
      <c r="U15" s="17">
        <f>T9*U9+T10*U10+T11*U11+T12*U12+T13*U13+T14*U14</f>
        <v>0</v>
      </c>
      <c r="V15" s="6"/>
      <c r="W15" s="17">
        <f>V9*W9+V10*W10+V11*W11+V12*W12+V13*W13+V14*W14</f>
        <v>0</v>
      </c>
      <c r="X15" s="6"/>
      <c r="Y15" s="17">
        <f>X9*Y9+X10*Y10+X11*Y11+X12*Y12+X13*Y13+X14*Y14</f>
        <v>0</v>
      </c>
      <c r="Z15" s="6"/>
      <c r="AA15" s="17">
        <f>Z9*AA9+Z10*AA10+Z11*AA11+Z12*AA12+Z13*AA13+Z14*AA14</f>
        <v>0</v>
      </c>
      <c r="AB15" s="6"/>
      <c r="AC15" s="17">
        <f>AB9*AC9+AB10*AC10+AB11*AC11+AB12*AC12+AB13*AC13+AB14*AC14</f>
        <v>0</v>
      </c>
      <c r="AD15" s="6"/>
      <c r="AE15" s="17">
        <f>AD9*AE9+AD10*AE10+AD11*AE11+AD12*AE12+AD13*AE13+AD14*AE14</f>
        <v>0</v>
      </c>
    </row>
    <row r="16" spans="1:31" ht="31.5">
      <c r="A16" s="5" t="s">
        <v>63</v>
      </c>
      <c r="B16" s="6">
        <f>C15+B6</f>
        <v>13212000</v>
      </c>
      <c r="C16" s="17"/>
      <c r="D16" s="6">
        <f>E15+D6</f>
        <v>11535400</v>
      </c>
      <c r="E16" s="17"/>
      <c r="F16" s="6">
        <f>G15+F6</f>
        <v>0</v>
      </c>
      <c r="G16" s="17"/>
      <c r="H16" s="6">
        <f>I15+H6</f>
        <v>0</v>
      </c>
      <c r="I16" s="17"/>
      <c r="J16" s="6">
        <f>K15+J6</f>
        <v>0</v>
      </c>
      <c r="K16" s="17"/>
      <c r="L16" s="6">
        <f>M15+L6</f>
        <v>0</v>
      </c>
      <c r="M16" s="17"/>
      <c r="N16" s="6">
        <f>O15+N6</f>
        <v>0</v>
      </c>
      <c r="O16" s="17"/>
      <c r="P16" s="6">
        <f>Q15+P6</f>
        <v>0</v>
      </c>
      <c r="Q16" s="17"/>
      <c r="R16" s="6">
        <f>S15+R6</f>
        <v>0</v>
      </c>
      <c r="S16" s="17"/>
      <c r="T16" s="6">
        <f>U15+T6</f>
        <v>0</v>
      </c>
      <c r="U16" s="17"/>
      <c r="V16" s="6">
        <f>W15+V6</f>
        <v>0</v>
      </c>
      <c r="W16" s="17"/>
      <c r="X16" s="6">
        <f>Y15+X6</f>
        <v>0</v>
      </c>
      <c r="Y16" s="17"/>
      <c r="Z16" s="6">
        <f>AA15+Z6</f>
        <v>0</v>
      </c>
      <c r="AA16" s="17"/>
      <c r="AB16" s="6">
        <f>AC15+AB6</f>
        <v>0</v>
      </c>
      <c r="AC16" s="17"/>
      <c r="AD16" s="6">
        <f>AE15+AD6</f>
        <v>0</v>
      </c>
      <c r="AE16" s="17"/>
    </row>
    <row r="17" spans="1:11">
      <c r="A17" s="5" t="s">
        <v>88</v>
      </c>
      <c r="B17" s="6">
        <f>MAX('Расчет нормативных затрат'!F7:K7)</f>
        <v>119.25</v>
      </c>
      <c r="C17" s="129" t="s">
        <v>18</v>
      </c>
      <c r="D17" s="129"/>
      <c r="E17" s="14">
        <v>36</v>
      </c>
      <c r="F17" s="3"/>
      <c r="G17" s="3"/>
      <c r="H17" s="3"/>
      <c r="I17" s="3"/>
      <c r="J17" s="3"/>
      <c r="K17" s="3"/>
    </row>
    <row r="18" spans="1:11" ht="47.25">
      <c r="A18" s="2" t="s">
        <v>14</v>
      </c>
      <c r="B18" s="8">
        <v>144</v>
      </c>
      <c r="C18" s="129" t="s">
        <v>66</v>
      </c>
      <c r="D18" s="129"/>
      <c r="E18" s="14">
        <v>36</v>
      </c>
      <c r="F18" s="3"/>
      <c r="G18" s="3"/>
      <c r="H18" s="3"/>
      <c r="I18" s="3"/>
      <c r="J18" s="3"/>
      <c r="K18" s="3"/>
    </row>
    <row r="19" spans="1:11" ht="45" customHeight="1">
      <c r="A19" s="5" t="s">
        <v>64</v>
      </c>
      <c r="B19" s="6">
        <f>ROUNDUP(B18*B17,-1)</f>
        <v>17180</v>
      </c>
      <c r="C19" s="129" t="s">
        <v>67</v>
      </c>
      <c r="D19" s="129"/>
      <c r="E19" s="24">
        <f>ROUNDUP(B19/E17*E18,-1)</f>
        <v>17180</v>
      </c>
      <c r="F19" s="130" t="str">
        <f>IF(G2&gt;SUM(B15:AE15),"Требуется выделение дополнительных средств"," ")</f>
        <v xml:space="preserve"> </v>
      </c>
      <c r="G19" s="130"/>
      <c r="H19" s="130"/>
      <c r="I19" s="130"/>
      <c r="J19" s="3"/>
      <c r="K19" s="3"/>
    </row>
    <row r="20" spans="1:11">
      <c r="C20" s="4"/>
      <c r="D20" s="4"/>
      <c r="E20" s="4"/>
      <c r="F20" s="4"/>
      <c r="G20" s="4"/>
      <c r="H20" s="4"/>
      <c r="I20" s="4"/>
      <c r="J20" s="4"/>
      <c r="K20" s="4"/>
    </row>
    <row r="21" spans="1:11"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1"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1:11"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1">
      <c r="B25" s="4"/>
      <c r="C25" s="4"/>
      <c r="D25" s="4"/>
      <c r="E25" s="4"/>
      <c r="F25" s="4"/>
      <c r="G25" s="4"/>
      <c r="H25" s="4"/>
      <c r="I25" s="4"/>
      <c r="J25" s="4"/>
      <c r="K25" s="4"/>
    </row>
    <row r="29" spans="1:11">
      <c r="C29" s="110"/>
    </row>
  </sheetData>
  <mergeCells count="36">
    <mergeCell ref="B4:C4"/>
    <mergeCell ref="T4:U4"/>
    <mergeCell ref="R4:S4"/>
    <mergeCell ref="P4:Q4"/>
    <mergeCell ref="N4:O4"/>
    <mergeCell ref="L4:M4"/>
    <mergeCell ref="J4:K4"/>
    <mergeCell ref="D4:E4"/>
    <mergeCell ref="H4:I4"/>
    <mergeCell ref="F4:G4"/>
    <mergeCell ref="N5:O5"/>
    <mergeCell ref="P5:Q5"/>
    <mergeCell ref="L5:M5"/>
    <mergeCell ref="A7:A8"/>
    <mergeCell ref="B7:U7"/>
    <mergeCell ref="R5:S5"/>
    <mergeCell ref="T5:U5"/>
    <mergeCell ref="AD5:AE5"/>
    <mergeCell ref="Z5:AA5"/>
    <mergeCell ref="AD4:AE4"/>
    <mergeCell ref="V4:W4"/>
    <mergeCell ref="X4:Y4"/>
    <mergeCell ref="Z4:AA4"/>
    <mergeCell ref="AB4:AC4"/>
    <mergeCell ref="V5:W5"/>
    <mergeCell ref="X5:Y5"/>
    <mergeCell ref="AB5:AC5"/>
    <mergeCell ref="C19:D19"/>
    <mergeCell ref="F19:I19"/>
    <mergeCell ref="H5:I5"/>
    <mergeCell ref="J5:K5"/>
    <mergeCell ref="F5:G5"/>
    <mergeCell ref="C17:D17"/>
    <mergeCell ref="C18:D18"/>
    <mergeCell ref="B5:C5"/>
    <mergeCell ref="D5:E5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92" orientation="landscape" verticalDpi="0" r:id="rId1"/>
  <rowBreaks count="1" manualBreakCount="1">
    <brk id="20" max="16383" man="1"/>
  </rowBreaks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K16"/>
  <sheetViews>
    <sheetView view="pageBreakPreview" zoomScaleSheetLayoutView="100" workbookViewId="0">
      <selection activeCell="B17" sqref="B17"/>
    </sheetView>
  </sheetViews>
  <sheetFormatPr defaultColWidth="10.875" defaultRowHeight="15.75"/>
  <cols>
    <col min="1" max="1" width="26.375" style="2" customWidth="1"/>
    <col min="2" max="2" width="11.625" style="2" customWidth="1"/>
    <col min="3" max="3" width="21.625" style="2" customWidth="1"/>
    <col min="4" max="4" width="3.5" style="2" customWidth="1"/>
    <col min="5" max="5" width="31.125" style="2" customWidth="1"/>
    <col min="6" max="6" width="12.375" style="2" bestFit="1" customWidth="1"/>
    <col min="7" max="7" width="13.125" style="2" customWidth="1"/>
    <col min="8" max="8" width="12.125" style="2" customWidth="1"/>
    <col min="9" max="9" width="13.625" style="2" customWidth="1"/>
    <col min="10" max="10" width="13.875" style="2" customWidth="1"/>
    <col min="11" max="11" width="14.125" style="2" customWidth="1"/>
    <col min="12" max="12" width="7.875" style="2" bestFit="1" customWidth="1"/>
    <col min="13" max="16384" width="10.875" style="2"/>
  </cols>
  <sheetData>
    <row r="1" spans="1:11" ht="35.1" customHeight="1">
      <c r="A1" s="27" t="s">
        <v>0</v>
      </c>
      <c r="B1" s="135" t="str">
        <f>'Расчет номинала'!A2</f>
        <v>Беломорский МР</v>
      </c>
      <c r="C1" s="135"/>
      <c r="D1" s="11"/>
      <c r="F1" s="133"/>
      <c r="G1" s="133"/>
      <c r="H1" s="133"/>
      <c r="I1" s="133"/>
      <c r="J1" s="133"/>
      <c r="K1" s="133"/>
    </row>
    <row r="2" spans="1:11" ht="33.75" customHeight="1">
      <c r="A2" s="134" t="s">
        <v>42</v>
      </c>
      <c r="B2" s="134"/>
      <c r="C2" s="12">
        <v>49220</v>
      </c>
      <c r="D2" s="30"/>
      <c r="E2" s="31" t="s">
        <v>26</v>
      </c>
      <c r="F2" s="88" t="str">
        <f>'Расчет номинала'!A9</f>
        <v>Техническая</v>
      </c>
      <c r="G2" s="88" t="str">
        <f>'Расчет номинала'!A10</f>
        <v>Естественнонаучная</v>
      </c>
      <c r="H2" s="88" t="str">
        <f>'Расчет номинала'!A11</f>
        <v>Художественная</v>
      </c>
      <c r="I2" s="88" t="str">
        <f>'Расчет номинала'!A12</f>
        <v>Туристско-краеведческая</v>
      </c>
      <c r="J2" s="88" t="str">
        <f>'Расчет номинала'!A13</f>
        <v>Физкультурно-спортивная</v>
      </c>
      <c r="K2" s="89" t="s">
        <v>59</v>
      </c>
    </row>
    <row r="3" spans="1:11" ht="34.5" customHeight="1">
      <c r="A3" s="29" t="s">
        <v>27</v>
      </c>
      <c r="B3"/>
      <c r="C3" s="79">
        <v>0.2</v>
      </c>
      <c r="D3" s="4"/>
      <c r="E3" s="29" t="s">
        <v>53</v>
      </c>
      <c r="F3" s="76">
        <v>75</v>
      </c>
      <c r="G3" s="76">
        <v>75</v>
      </c>
      <c r="H3" s="76">
        <v>75</v>
      </c>
      <c r="I3" s="76">
        <v>75</v>
      </c>
      <c r="J3" s="76">
        <v>75</v>
      </c>
      <c r="K3" s="76">
        <v>75</v>
      </c>
    </row>
    <row r="4" spans="1:11" ht="30" customHeight="1">
      <c r="A4" s="29" t="s">
        <v>29</v>
      </c>
      <c r="B4"/>
      <c r="C4" s="12">
        <v>450</v>
      </c>
      <c r="D4" s="4"/>
      <c r="E4" s="29" t="s">
        <v>54</v>
      </c>
      <c r="F4" s="76">
        <v>144</v>
      </c>
      <c r="G4" s="76">
        <v>144</v>
      </c>
      <c r="H4" s="76">
        <v>144</v>
      </c>
      <c r="I4" s="76">
        <v>144</v>
      </c>
      <c r="J4" s="76">
        <v>144</v>
      </c>
      <c r="K4" s="76">
        <v>136</v>
      </c>
    </row>
    <row r="5" spans="1:11" ht="34.5" customHeight="1">
      <c r="A5" s="29" t="s">
        <v>31</v>
      </c>
      <c r="B5"/>
      <c r="C5" s="12">
        <v>3100</v>
      </c>
      <c r="D5" s="4"/>
      <c r="E5" s="32" t="s">
        <v>28</v>
      </c>
      <c r="F5" s="77">
        <v>12</v>
      </c>
      <c r="G5" s="77">
        <v>12</v>
      </c>
      <c r="H5" s="77">
        <v>12</v>
      </c>
      <c r="I5" s="77">
        <v>12</v>
      </c>
      <c r="J5" s="77">
        <v>12</v>
      </c>
      <c r="K5" s="77">
        <v>12</v>
      </c>
    </row>
    <row r="6" spans="1:11" ht="47.25">
      <c r="A6" s="29" t="s">
        <v>33</v>
      </c>
      <c r="B6"/>
      <c r="C6" s="86">
        <v>20</v>
      </c>
      <c r="E6" s="32" t="s">
        <v>30</v>
      </c>
      <c r="F6" s="77">
        <v>20</v>
      </c>
      <c r="G6" s="77">
        <v>20</v>
      </c>
      <c r="H6" s="77">
        <v>20</v>
      </c>
      <c r="I6" s="77">
        <v>20</v>
      </c>
      <c r="J6" s="77">
        <v>20</v>
      </c>
      <c r="K6" s="77">
        <v>20</v>
      </c>
    </row>
    <row r="7" spans="1:11" ht="45" customHeight="1">
      <c r="A7" s="29" t="s">
        <v>35</v>
      </c>
      <c r="B7"/>
      <c r="C7" s="28"/>
      <c r="E7" s="46" t="s">
        <v>32</v>
      </c>
      <c r="F7" s="47">
        <f t="shared" ref="F7:K7" si="0">SUM(F8:F12)</f>
        <v>109.21</v>
      </c>
      <c r="G7" s="47">
        <f t="shared" si="0"/>
        <v>106.98</v>
      </c>
      <c r="H7" s="47">
        <f t="shared" si="0"/>
        <v>119.25</v>
      </c>
      <c r="I7" s="47">
        <f t="shared" si="0"/>
        <v>106.98</v>
      </c>
      <c r="J7" s="47">
        <f t="shared" si="0"/>
        <v>118.25</v>
      </c>
      <c r="K7" s="47">
        <f t="shared" si="0"/>
        <v>112.6</v>
      </c>
    </row>
    <row r="8" spans="1:11" ht="31.5">
      <c r="A8" s="34" t="s">
        <v>9</v>
      </c>
      <c r="B8" s="29"/>
      <c r="C8" s="12">
        <v>50000</v>
      </c>
      <c r="E8" s="29" t="s">
        <v>34</v>
      </c>
      <c r="F8" s="33">
        <f t="shared" ref="F8:K8" si="1">$C$2*12*1.302/F3/F4</f>
        <v>71.2</v>
      </c>
      <c r="G8" s="33">
        <f t="shared" si="1"/>
        <v>71.2</v>
      </c>
      <c r="H8" s="33">
        <f t="shared" si="1"/>
        <v>71.2</v>
      </c>
      <c r="I8" s="33">
        <f t="shared" si="1"/>
        <v>71.2</v>
      </c>
      <c r="J8" s="33">
        <f t="shared" si="1"/>
        <v>71.2</v>
      </c>
      <c r="K8" s="33">
        <f t="shared" si="1"/>
        <v>75.39</v>
      </c>
    </row>
    <row r="9" spans="1:11">
      <c r="A9" s="34" t="s">
        <v>10</v>
      </c>
      <c r="B9" s="29"/>
      <c r="C9" s="12">
        <v>10000</v>
      </c>
      <c r="E9" s="29" t="s">
        <v>36</v>
      </c>
      <c r="F9" s="33">
        <f t="shared" ref="F9:K9" si="2">F8*$C$3</f>
        <v>14.24</v>
      </c>
      <c r="G9" s="33">
        <f t="shared" si="2"/>
        <v>14.24</v>
      </c>
      <c r="H9" s="33">
        <f t="shared" si="2"/>
        <v>14.24</v>
      </c>
      <c r="I9" s="33">
        <f t="shared" si="2"/>
        <v>14.24</v>
      </c>
      <c r="J9" s="33">
        <f t="shared" si="2"/>
        <v>14.24</v>
      </c>
      <c r="K9" s="33">
        <f t="shared" si="2"/>
        <v>15.08</v>
      </c>
    </row>
    <row r="10" spans="1:11" ht="31.5">
      <c r="A10" s="34" t="s">
        <v>11</v>
      </c>
      <c r="B10" s="29"/>
      <c r="C10" s="12">
        <v>230000</v>
      </c>
      <c r="E10" s="29" t="s">
        <v>37</v>
      </c>
      <c r="F10" s="78">
        <f t="shared" ref="F10:K10" si="3">($C$4*14)/3/F3/F4+$C$5/F3/F4</f>
        <v>0.48</v>
      </c>
      <c r="G10" s="78">
        <f t="shared" si="3"/>
        <v>0.48</v>
      </c>
      <c r="H10" s="78">
        <f t="shared" si="3"/>
        <v>0.48</v>
      </c>
      <c r="I10" s="78">
        <f t="shared" si="3"/>
        <v>0.48</v>
      </c>
      <c r="J10" s="78">
        <f t="shared" si="3"/>
        <v>0.48</v>
      </c>
      <c r="K10" s="78">
        <f t="shared" si="3"/>
        <v>0.51</v>
      </c>
    </row>
    <row r="11" spans="1:11" ht="31.5">
      <c r="A11" s="34" t="s">
        <v>12</v>
      </c>
      <c r="B11" s="29"/>
      <c r="C11" s="12">
        <v>10000</v>
      </c>
      <c r="E11" s="29" t="s">
        <v>38</v>
      </c>
      <c r="F11" s="33">
        <f t="shared" ref="F11:K11" si="4">((VLOOKUP(F2,$A$8:$C$13,3,FALSE))/7/$C$14/(AVERAGE(F5,F6)))+(($C$15*0.5)/5/$C$14)</f>
        <v>3.29</v>
      </c>
      <c r="G11" s="33">
        <f t="shared" si="4"/>
        <v>1.06</v>
      </c>
      <c r="H11" s="33">
        <f t="shared" si="4"/>
        <v>13.33</v>
      </c>
      <c r="I11" s="33">
        <f t="shared" si="4"/>
        <v>1.06</v>
      </c>
      <c r="J11" s="33">
        <f t="shared" si="4"/>
        <v>12.33</v>
      </c>
      <c r="K11" s="33">
        <f t="shared" si="4"/>
        <v>1.62</v>
      </c>
    </row>
    <row r="12" spans="1:11" ht="31.5">
      <c r="A12" s="34" t="s">
        <v>13</v>
      </c>
      <c r="B12" s="29"/>
      <c r="C12" s="12">
        <v>212000</v>
      </c>
      <c r="E12" s="29" t="s">
        <v>39</v>
      </c>
      <c r="F12" s="33">
        <f t="shared" ref="F12:K12" si="5">$C$6</f>
        <v>20</v>
      </c>
      <c r="G12" s="33">
        <f t="shared" si="5"/>
        <v>20</v>
      </c>
      <c r="H12" s="33">
        <f t="shared" si="5"/>
        <v>20</v>
      </c>
      <c r="I12" s="33">
        <f t="shared" si="5"/>
        <v>20</v>
      </c>
      <c r="J12" s="33">
        <f t="shared" si="5"/>
        <v>20</v>
      </c>
      <c r="K12" s="33">
        <f t="shared" si="5"/>
        <v>20</v>
      </c>
    </row>
    <row r="13" spans="1:11">
      <c r="A13" s="85" t="s">
        <v>59</v>
      </c>
      <c r="C13" s="12">
        <v>20000</v>
      </c>
      <c r="E13" s="133"/>
      <c r="F13" s="133"/>
      <c r="G13" s="133"/>
      <c r="H13" s="133"/>
      <c r="I13" s="133"/>
      <c r="J13" s="133"/>
      <c r="K13" s="133"/>
    </row>
    <row r="14" spans="1:11" ht="47.25">
      <c r="A14" s="2" t="s">
        <v>40</v>
      </c>
      <c r="B14"/>
      <c r="C14" s="12">
        <v>160</v>
      </c>
      <c r="E14" s="104" t="s">
        <v>87</v>
      </c>
      <c r="F14" s="105">
        <f t="shared" ref="F14:K14" si="6">F3/(F5+F6)*2*(F4/36)</f>
        <v>19</v>
      </c>
      <c r="G14" s="105">
        <f t="shared" si="6"/>
        <v>19</v>
      </c>
      <c r="H14" s="105">
        <f t="shared" si="6"/>
        <v>19</v>
      </c>
      <c r="I14" s="105">
        <f t="shared" si="6"/>
        <v>19</v>
      </c>
      <c r="J14" s="105">
        <f t="shared" si="6"/>
        <v>19</v>
      </c>
      <c r="K14" s="105">
        <f t="shared" si="6"/>
        <v>18</v>
      </c>
    </row>
    <row r="15" spans="1:11">
      <c r="A15" s="2" t="s">
        <v>41</v>
      </c>
      <c r="B15"/>
      <c r="C15" s="79">
        <v>800</v>
      </c>
      <c r="H15" s="33"/>
      <c r="I15" s="33"/>
      <c r="J15" s="33"/>
      <c r="K15" s="33"/>
    </row>
    <row r="16" spans="1:11">
      <c r="H16" s="33"/>
      <c r="I16" s="33"/>
      <c r="J16" s="33"/>
      <c r="K16" s="33"/>
    </row>
  </sheetData>
  <mergeCells count="4">
    <mergeCell ref="A2:B2"/>
    <mergeCell ref="F1:K1"/>
    <mergeCell ref="E13:K13"/>
    <mergeCell ref="B1:C1"/>
  </mergeCells>
  <phoneticPr fontId="6" type="noConversion"/>
  <pageMargins left="0.7" right="0.7" top="0.75" bottom="0.75" header="0.3" footer="0.3"/>
  <pageSetup paperSize="9" scale="69" orientation="landscape" verticalDpi="0" r:id="rId1"/>
  <ignoredErrors>
    <ignoredError sqref="B1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6"/>
  <sheetViews>
    <sheetView view="pageBreakPreview" zoomScale="85" zoomScaleNormal="90" zoomScaleSheetLayoutView="85" workbookViewId="0">
      <selection activeCell="G39" sqref="G39"/>
    </sheetView>
  </sheetViews>
  <sheetFormatPr defaultColWidth="11" defaultRowHeight="15.75"/>
  <cols>
    <col min="1" max="1" width="31.875" style="43" customWidth="1"/>
    <col min="2" max="2" width="41" style="43" customWidth="1"/>
    <col min="3" max="3" width="24.125" style="43" customWidth="1"/>
    <col min="4" max="4" width="11.5" style="43" customWidth="1"/>
    <col min="5" max="5" width="12.875" style="43" customWidth="1"/>
    <col min="6" max="6" width="12.125" style="44" customWidth="1"/>
    <col min="7" max="7" width="11.5" style="44" customWidth="1"/>
    <col min="8" max="8" width="12.5" style="45" customWidth="1"/>
    <col min="9" max="9" width="11.125" style="42" customWidth="1"/>
    <col min="10" max="10" width="15.25" customWidth="1"/>
    <col min="11" max="11" width="15" customWidth="1"/>
    <col min="12" max="12" width="15.5" style="54" customWidth="1"/>
    <col min="13" max="13" width="12.625" style="54" customWidth="1"/>
    <col min="14" max="14" width="12.375" bestFit="1" customWidth="1"/>
    <col min="15" max="15" width="7.125" style="54" customWidth="1"/>
  </cols>
  <sheetData>
    <row r="1" spans="1:15" s="35" customFormat="1" ht="110.25">
      <c r="A1" s="87" t="s">
        <v>65</v>
      </c>
      <c r="B1" s="87" t="s">
        <v>86</v>
      </c>
      <c r="C1" s="48" t="s">
        <v>26</v>
      </c>
      <c r="D1" s="49" t="s">
        <v>18</v>
      </c>
      <c r="E1" s="49" t="s">
        <v>66</v>
      </c>
      <c r="F1" s="49" t="s">
        <v>46</v>
      </c>
      <c r="G1" s="49" t="s">
        <v>43</v>
      </c>
      <c r="H1" s="50" t="s">
        <v>47</v>
      </c>
      <c r="I1" s="51" t="s">
        <v>44</v>
      </c>
      <c r="J1" s="51" t="s">
        <v>69</v>
      </c>
      <c r="K1" s="80" t="s">
        <v>70</v>
      </c>
      <c r="L1" s="51" t="s">
        <v>55</v>
      </c>
      <c r="M1" s="51" t="s">
        <v>68</v>
      </c>
      <c r="N1" s="81" t="s">
        <v>71</v>
      </c>
      <c r="O1" s="53"/>
    </row>
    <row r="2" spans="1:15" s="121" customFormat="1" ht="31.5">
      <c r="A2" s="112" t="s">
        <v>99</v>
      </c>
      <c r="B2" s="113" t="s">
        <v>100</v>
      </c>
      <c r="C2" s="113" t="s">
        <v>13</v>
      </c>
      <c r="D2" s="111">
        <v>36</v>
      </c>
      <c r="E2" s="111">
        <v>36</v>
      </c>
      <c r="F2" s="114">
        <v>4</v>
      </c>
      <c r="G2" s="114">
        <v>75</v>
      </c>
      <c r="H2" s="115">
        <v>212.97</v>
      </c>
      <c r="I2" s="116">
        <f>HLOOKUP($C2,'Расчет нормативных затрат'!$F$2:$K$7,6,FALSE)</f>
        <v>118.25</v>
      </c>
      <c r="J2" s="117">
        <f t="shared" ref="J2:J33" si="0">IF(H2=0,I2*F2*E2,IF(I2&gt;H2,H2*F2*E2,I2*F2*E2))</f>
        <v>17028</v>
      </c>
      <c r="K2" s="117">
        <f>IF(J2&lt;'Расчет номинала'!$E$19+0.01,J2,ROUNDDOWN('Расчет номинала'!$E$19/IF(H2=0,I2,IF(I2&gt;H2,H2,I2)),0)*IF(H2=0,I2,IF(I2&gt;H2,H2,I2)))</f>
        <v>17028</v>
      </c>
      <c r="L2" s="117">
        <f t="shared" ref="L2:L33" si="1">K2*G2</f>
        <v>1277100</v>
      </c>
      <c r="M2" s="118">
        <f>IF(J2&lt;'Расчет номинала'!$E$19+0.01,E2*F2*G2,ROUNDDOWN('Расчет номинала'!$E$19/IF(H2=0,I2,IF(I2&gt;H2,H2,I2)),0)*G2)</f>
        <v>10800</v>
      </c>
      <c r="N2" s="119">
        <f>J2-K2</f>
        <v>0</v>
      </c>
      <c r="O2" s="120"/>
    </row>
    <row r="3" spans="1:15" s="121" customFormat="1" ht="18" customHeight="1">
      <c r="A3" s="112" t="s">
        <v>99</v>
      </c>
      <c r="B3" s="113" t="s">
        <v>123</v>
      </c>
      <c r="C3" s="113" t="s">
        <v>13</v>
      </c>
      <c r="D3" s="111">
        <v>36</v>
      </c>
      <c r="E3" s="111">
        <v>36</v>
      </c>
      <c r="F3" s="114">
        <v>3</v>
      </c>
      <c r="G3" s="114">
        <v>45</v>
      </c>
      <c r="H3" s="115">
        <v>212.97</v>
      </c>
      <c r="I3" s="116">
        <f>HLOOKUP($C3,'Расчет нормативных затрат'!$F$2:$K$7,6,FALSE)</f>
        <v>118.25</v>
      </c>
      <c r="J3" s="117">
        <f>IF(H3=0,I3*F3*E3,IF(I3&gt;H3,H3*F3*E3,I3*F3*E3))</f>
        <v>12771</v>
      </c>
      <c r="K3" s="117">
        <f>IF(J3&lt;'Расчет номинала'!$E$19+0.01,J3,ROUNDDOWN('Расчет номинала'!$E$19/IF(H3=0,I3,IF(I3&gt;H3,H3,I3)),0)*IF(H3=0,I3,IF(I3&gt;H3,H3,I3)))</f>
        <v>12771</v>
      </c>
      <c r="L3" s="117">
        <f>K3*G3</f>
        <v>574695</v>
      </c>
      <c r="M3" s="118">
        <f>IF(J3&lt;'Расчет номинала'!$E$19+0.01,E3*F3*G3,ROUNDDOWN('Расчет номинала'!$E$19/IF(H3=0,I3,IF(I3&gt;H3,H3,I3)),0)*G3)</f>
        <v>4860</v>
      </c>
      <c r="N3" s="119">
        <f>J3-K3</f>
        <v>0</v>
      </c>
      <c r="O3" s="120"/>
    </row>
    <row r="4" spans="1:15" s="121" customFormat="1" ht="15" customHeight="1">
      <c r="A4" s="112" t="s">
        <v>99</v>
      </c>
      <c r="B4" s="113" t="s">
        <v>101</v>
      </c>
      <c r="C4" s="113" t="s">
        <v>13</v>
      </c>
      <c r="D4" s="111"/>
      <c r="E4" s="111"/>
      <c r="F4" s="114"/>
      <c r="G4" s="114"/>
      <c r="H4" s="115"/>
      <c r="I4" s="116">
        <f>HLOOKUP($C4,'Расчет нормативных затрат'!$F$2:$K$7,6,FALSE)</f>
        <v>118.25</v>
      </c>
      <c r="J4" s="117">
        <f t="shared" si="0"/>
        <v>0</v>
      </c>
      <c r="K4" s="117">
        <f>IF(J4&lt;'Расчет номинала'!$E$19+0.01,J4,ROUNDDOWN('Расчет номинала'!$E$19/IF(H4=0,I4,IF(I4&gt;H4,H4,I4)),0)*IF(H4=0,I4,IF(I4&gt;H4,H4,I4)))</f>
        <v>0</v>
      </c>
      <c r="L4" s="117">
        <f t="shared" si="1"/>
        <v>0</v>
      </c>
      <c r="M4" s="118">
        <f>IF(J4&lt;'Расчет номинала'!$E$19+0.01,E4*F4*G4,ROUNDDOWN('Расчет номинала'!$E$19/IF(H4=0,I4,IF(I4&gt;H4,H4,I4)),0)*G4)</f>
        <v>0</v>
      </c>
      <c r="N4" s="119">
        <f t="shared" ref="N4:N33" si="2">J4-K4</f>
        <v>0</v>
      </c>
      <c r="O4" s="120"/>
    </row>
    <row r="5" spans="1:15" s="121" customFormat="1" ht="14.25" customHeight="1">
      <c r="A5" s="112" t="s">
        <v>99</v>
      </c>
      <c r="B5" s="113" t="s">
        <v>102</v>
      </c>
      <c r="C5" s="113" t="s">
        <v>13</v>
      </c>
      <c r="D5" s="111"/>
      <c r="E5" s="111"/>
      <c r="F5" s="114"/>
      <c r="G5" s="114"/>
      <c r="H5" s="115"/>
      <c r="I5" s="116">
        <f>HLOOKUP($C5,'Расчет нормативных затрат'!$F$2:$K$7,6,FALSE)</f>
        <v>118.25</v>
      </c>
      <c r="J5" s="117">
        <f t="shared" si="0"/>
        <v>0</v>
      </c>
      <c r="K5" s="117">
        <f>IF(J5&lt;'Расчет номинала'!$E$19+0.01,J5,ROUNDDOWN('Расчет номинала'!$E$19/IF(H5=0,I5,IF(I5&gt;H5,H5,I5)),0)*IF(H5=0,I5,IF(I5&gt;H5,H5,I5)))</f>
        <v>0</v>
      </c>
      <c r="L5" s="117">
        <f t="shared" si="1"/>
        <v>0</v>
      </c>
      <c r="M5" s="118">
        <f>IF(J5&lt;'Расчет номинала'!$E$19+0.01,E5*F5*G5,ROUNDDOWN('Расчет номинала'!$E$19/IF(H5=0,I5,IF(I5&gt;H5,H5,I5)),0)*G5)</f>
        <v>0</v>
      </c>
      <c r="N5" s="119">
        <f t="shared" si="2"/>
        <v>0</v>
      </c>
      <c r="O5" s="120"/>
    </row>
    <row r="6" spans="1:15" s="121" customFormat="1">
      <c r="A6" s="113" t="s">
        <v>98</v>
      </c>
      <c r="B6" s="113" t="s">
        <v>112</v>
      </c>
      <c r="C6" s="113" t="s">
        <v>11</v>
      </c>
      <c r="D6" s="111">
        <v>32</v>
      </c>
      <c r="E6" s="111">
        <v>16</v>
      </c>
      <c r="F6" s="114">
        <v>4</v>
      </c>
      <c r="G6" s="114">
        <v>15</v>
      </c>
      <c r="H6" s="115">
        <v>172.53</v>
      </c>
      <c r="I6" s="116">
        <f>HLOOKUP($C6,'Расчет нормативных затрат'!$F$2:$K$7,6,FALSE)</f>
        <v>119.25</v>
      </c>
      <c r="J6" s="117">
        <f t="shared" si="0"/>
        <v>7632</v>
      </c>
      <c r="K6" s="117">
        <f>IF(J6&lt;'Расчет номинала'!$E$19+0.01,J6,ROUNDDOWN('Расчет номинала'!$E$19/IF(H6=0,I6,IF(I6&gt;H6,H6,I6)),0)*IF(H6=0,I6,IF(I6&gt;H6,H6,I6)))</f>
        <v>7632</v>
      </c>
      <c r="L6" s="117">
        <f t="shared" si="1"/>
        <v>114480</v>
      </c>
      <c r="M6" s="118">
        <f>IF(J6&lt;'Расчет номинала'!$E$19+0.01,E6*F6*G6,ROUNDDOWN('Расчет номинала'!$E$19/IF(H6=0,I6,IF(I6&gt;H6,H6,I6)),0)*G6)</f>
        <v>960</v>
      </c>
      <c r="N6" s="119">
        <f t="shared" si="2"/>
        <v>0</v>
      </c>
      <c r="O6" s="120"/>
    </row>
    <row r="7" spans="1:15" s="121" customFormat="1">
      <c r="A7" s="113" t="s">
        <v>98</v>
      </c>
      <c r="B7" s="113" t="s">
        <v>114</v>
      </c>
      <c r="C7" s="113" t="s">
        <v>11</v>
      </c>
      <c r="D7" s="111">
        <v>32</v>
      </c>
      <c r="E7" s="111">
        <v>16</v>
      </c>
      <c r="F7" s="114">
        <v>6</v>
      </c>
      <c r="G7" s="114">
        <v>12</v>
      </c>
      <c r="H7" s="115">
        <v>172.53</v>
      </c>
      <c r="I7" s="116">
        <f>HLOOKUP($C7,'Расчет нормативных затрат'!$F$2:$K$7,6,FALSE)</f>
        <v>119.25</v>
      </c>
      <c r="J7" s="117">
        <f t="shared" si="0"/>
        <v>11448</v>
      </c>
      <c r="K7" s="117">
        <f>IF(J7&lt;'Расчет номинала'!$E$19+0.01,J7,ROUNDDOWN('Расчет номинала'!$E$19/IF(H7=0,I7,IF(I7&gt;H7,H7,I7)),0)*IF(H7=0,I7,IF(I7&gt;H7,H7,I7)))</f>
        <v>11448</v>
      </c>
      <c r="L7" s="117">
        <f t="shared" si="1"/>
        <v>137376</v>
      </c>
      <c r="M7" s="118">
        <f>IF(J7&lt;'Расчет номинала'!$E$19+0.01,E7*F7*G7,ROUNDDOWN('Расчет номинала'!$E$19/IF(H7=0,I7,IF(I7&gt;H7,H7,I7)),0)*G7)</f>
        <v>1152</v>
      </c>
      <c r="N7" s="119">
        <f t="shared" si="2"/>
        <v>0</v>
      </c>
      <c r="O7" s="120"/>
    </row>
    <row r="8" spans="1:15" s="121" customFormat="1">
      <c r="A8" s="113" t="s">
        <v>98</v>
      </c>
      <c r="B8" s="112" t="s">
        <v>111</v>
      </c>
      <c r="C8" s="113" t="s">
        <v>11</v>
      </c>
      <c r="D8" s="111">
        <v>36</v>
      </c>
      <c r="E8" s="111">
        <v>25</v>
      </c>
      <c r="F8" s="114">
        <v>2</v>
      </c>
      <c r="G8" s="114">
        <v>38</v>
      </c>
      <c r="H8" s="115">
        <v>172.53</v>
      </c>
      <c r="I8" s="116">
        <f>HLOOKUP($C8,'Расчет нормативных затрат'!$F$2:$K$7,6,FALSE)</f>
        <v>119.25</v>
      </c>
      <c r="J8" s="117">
        <f t="shared" si="0"/>
        <v>5962.5</v>
      </c>
      <c r="K8" s="117">
        <f>IF(J8&lt;'Расчет номинала'!$E$19+0.01,J8,ROUNDDOWN('Расчет номинала'!$E$19/IF(H8=0,I8,IF(I8&gt;H8,H8,I8)),0)*IF(H8=0,I8,IF(I8&gt;H8,H8,I8)))</f>
        <v>5962.5</v>
      </c>
      <c r="L8" s="117">
        <f t="shared" si="1"/>
        <v>226575</v>
      </c>
      <c r="M8" s="118">
        <f>IF(J8&lt;'Расчет номинала'!$E$19+0.01,E8*F8*G8,ROUNDDOWN('Расчет номинала'!$E$19/IF(H8=0,I8,IF(I8&gt;H8,H8,I8)),0)*G8)</f>
        <v>1900</v>
      </c>
      <c r="N8" s="119">
        <f t="shared" si="2"/>
        <v>0</v>
      </c>
      <c r="O8" s="120"/>
    </row>
    <row r="9" spans="1:15" s="121" customFormat="1" ht="18" customHeight="1">
      <c r="A9" s="113" t="s">
        <v>98</v>
      </c>
      <c r="B9" s="128" t="s">
        <v>116</v>
      </c>
      <c r="C9" s="113" t="s">
        <v>11</v>
      </c>
      <c r="D9" s="111">
        <v>36</v>
      </c>
      <c r="E9" s="111">
        <v>36</v>
      </c>
      <c r="F9" s="114">
        <v>4</v>
      </c>
      <c r="G9" s="114">
        <v>16</v>
      </c>
      <c r="H9" s="115">
        <v>172.53</v>
      </c>
      <c r="I9" s="116">
        <f>HLOOKUP($C9,'Расчет нормативных затрат'!$F$2:$K$7,6,FALSE)</f>
        <v>119.25</v>
      </c>
      <c r="J9" s="117">
        <f t="shared" si="0"/>
        <v>17172</v>
      </c>
      <c r="K9" s="117">
        <f>IF(J9&lt;'Расчет номинала'!$E$19+0.01,J9,ROUNDDOWN('Расчет номинала'!$E$19/IF(H9=0,I9,IF(I9&gt;H9,H9,I9)),0)*IF(H9=0,I9,IF(I9&gt;H9,H9,I9)))</f>
        <v>17172</v>
      </c>
      <c r="L9" s="117">
        <f t="shared" si="1"/>
        <v>274752</v>
      </c>
      <c r="M9" s="118">
        <f>IF(J9&lt;'Расчет номинала'!$E$19+0.01,E9*F9*G9,ROUNDDOWN('Расчет номинала'!$E$19/IF(H9=0,I9,IF(I9&gt;H9,H9,I9)),0)*G9)</f>
        <v>2304</v>
      </c>
      <c r="N9" s="119">
        <f t="shared" si="2"/>
        <v>0</v>
      </c>
      <c r="O9" s="120"/>
    </row>
    <row r="10" spans="1:15" s="121" customFormat="1">
      <c r="A10" s="113" t="s">
        <v>98</v>
      </c>
      <c r="B10" s="113" t="s">
        <v>117</v>
      </c>
      <c r="C10" s="113" t="s">
        <v>11</v>
      </c>
      <c r="D10" s="111">
        <v>36</v>
      </c>
      <c r="E10" s="111">
        <v>34</v>
      </c>
      <c r="F10" s="114">
        <v>4</v>
      </c>
      <c r="G10" s="114">
        <v>35</v>
      </c>
      <c r="H10" s="115">
        <v>172.53</v>
      </c>
      <c r="I10" s="116">
        <f>HLOOKUP($C10,'Расчет нормативных затрат'!$F$2:$K$7,6,FALSE)</f>
        <v>119.25</v>
      </c>
      <c r="J10" s="117">
        <f t="shared" si="0"/>
        <v>16218</v>
      </c>
      <c r="K10" s="117">
        <f>IF(J10&lt;'Расчет номинала'!$E$19+0.01,J10,ROUNDDOWN('Расчет номинала'!$E$19/IF(H10=0,I10,IF(I10&gt;H10,H10,I10)),0)*IF(H10=0,I10,IF(I10&gt;H10,H10,I10)))</f>
        <v>16218</v>
      </c>
      <c r="L10" s="117">
        <f t="shared" si="1"/>
        <v>567630</v>
      </c>
      <c r="M10" s="118">
        <f>IF(J10&lt;'Расчет номинала'!$E$19+0.01,E10*F10*G10,ROUNDDOWN('Расчет номинала'!$E$19/IF(H10=0,I10,IF(I10&gt;H10,H10,I10)),0)*G10)</f>
        <v>4760</v>
      </c>
      <c r="N10" s="119">
        <f t="shared" si="2"/>
        <v>0</v>
      </c>
      <c r="O10" s="120"/>
    </row>
    <row r="11" spans="1:15" s="121" customFormat="1">
      <c r="A11" s="113" t="s">
        <v>98</v>
      </c>
      <c r="B11" s="113" t="s">
        <v>115</v>
      </c>
      <c r="C11" s="113" t="s">
        <v>11</v>
      </c>
      <c r="D11" s="111">
        <v>35</v>
      </c>
      <c r="E11" s="111">
        <v>20</v>
      </c>
      <c r="F11" s="114">
        <v>6</v>
      </c>
      <c r="G11" s="114">
        <v>12</v>
      </c>
      <c r="H11" s="115">
        <v>172.53</v>
      </c>
      <c r="I11" s="116">
        <f>HLOOKUP($C11,'Расчет нормативных затрат'!$F$2:$K$7,6,FALSE)</f>
        <v>119.25</v>
      </c>
      <c r="J11" s="117">
        <f>IF(H11=0,I11*F11*E11,IF(I11&gt;H11,H11*F11*E11,I11*F11*E11))</f>
        <v>14310</v>
      </c>
      <c r="K11" s="117">
        <f>IF(J11&lt;'Расчет номинала'!$E$19+0.01,J11,ROUNDDOWN('Расчет номинала'!$E$19/IF(H11=0,I11,IF(I11&gt;H11,H11,I11)),0)*IF(H11=0,I11,IF(I11&gt;H11,H11,I11)))</f>
        <v>14310</v>
      </c>
      <c r="L11" s="117">
        <f>K11*G11</f>
        <v>171720</v>
      </c>
      <c r="M11" s="118">
        <f>IF(J11&lt;'Расчет номинала'!$E$19+0.01,E11*F11*G11,ROUNDDOWN('Расчет номинала'!$E$19/IF(H11=0,I11,IF(I11&gt;H11,H11,I11)),0)*G11)</f>
        <v>1440</v>
      </c>
      <c r="N11" s="119">
        <f>J11-K11</f>
        <v>0</v>
      </c>
      <c r="O11" s="120"/>
    </row>
    <row r="12" spans="1:15" s="121" customFormat="1">
      <c r="A12" s="113" t="s">
        <v>98</v>
      </c>
      <c r="B12" s="113" t="s">
        <v>113</v>
      </c>
      <c r="C12" s="113" t="s">
        <v>11</v>
      </c>
      <c r="D12" s="111">
        <v>36</v>
      </c>
      <c r="E12" s="111">
        <v>36</v>
      </c>
      <c r="F12" s="114">
        <v>2</v>
      </c>
      <c r="G12" s="114">
        <v>8</v>
      </c>
      <c r="H12" s="115">
        <v>172.53</v>
      </c>
      <c r="I12" s="116">
        <f>HLOOKUP($C12,'Расчет нормативных затрат'!$F$2:$K$7,6,FALSE)</f>
        <v>119.25</v>
      </c>
      <c r="J12" s="117">
        <f t="shared" si="0"/>
        <v>8586</v>
      </c>
      <c r="K12" s="117">
        <f>IF(J12&lt;'Расчет номинала'!$E$19+0.01,J12,ROUNDDOWN('Расчет номинала'!$E$19/IF(H12=0,I12,IF(I12&gt;H12,H12,I12)),0)*IF(H12=0,I12,IF(I12&gt;H12,H12,I12)))</f>
        <v>8586</v>
      </c>
      <c r="L12" s="117">
        <f t="shared" si="1"/>
        <v>68688</v>
      </c>
      <c r="M12" s="118">
        <f>IF(J12&lt;'Расчет номинала'!$E$19+0.01,E12*F12*G12,ROUNDDOWN('Расчет номинала'!$E$19/IF(H12=0,I12,IF(I12&gt;H12,H12,I12)),0)*G12)</f>
        <v>576</v>
      </c>
      <c r="N12" s="119">
        <f t="shared" si="2"/>
        <v>0</v>
      </c>
      <c r="O12" s="120"/>
    </row>
    <row r="13" spans="1:15" s="121" customFormat="1">
      <c r="A13" s="113" t="s">
        <v>98</v>
      </c>
      <c r="B13" s="113" t="s">
        <v>118</v>
      </c>
      <c r="C13" s="113" t="s">
        <v>11</v>
      </c>
      <c r="D13" s="111">
        <v>36</v>
      </c>
      <c r="E13" s="111">
        <v>36</v>
      </c>
      <c r="F13" s="114">
        <v>2</v>
      </c>
      <c r="G13" s="114">
        <v>29</v>
      </c>
      <c r="H13" s="115">
        <v>172.53</v>
      </c>
      <c r="I13" s="116">
        <f>HLOOKUP($C13,'Расчет нормативных затрат'!$F$2:$K$7,6,FALSE)</f>
        <v>119.25</v>
      </c>
      <c r="J13" s="117">
        <f t="shared" si="0"/>
        <v>8586</v>
      </c>
      <c r="K13" s="117">
        <f>IF(J13&lt;'Расчет номинала'!$E$19+0.01,J13,ROUNDDOWN('Расчет номинала'!$E$19/IF(H13=0,I13,IF(I13&gt;H13,H13,I13)),0)*IF(H13=0,I13,IF(I13&gt;H13,H13,I13)))</f>
        <v>8586</v>
      </c>
      <c r="L13" s="117">
        <f t="shared" si="1"/>
        <v>248994</v>
      </c>
      <c r="M13" s="118">
        <f>IF(J13&lt;'Расчет номинала'!$E$19+0.01,E13*F13*G13,ROUNDDOWN('Расчет номинала'!$E$19/IF(H13=0,I13,IF(I13&gt;H13,H13,I13)),0)*G13)</f>
        <v>2088</v>
      </c>
      <c r="N13" s="119">
        <f t="shared" si="2"/>
        <v>0</v>
      </c>
      <c r="O13" s="120"/>
    </row>
    <row r="14" spans="1:15" s="121" customFormat="1">
      <c r="A14" s="113" t="s">
        <v>98</v>
      </c>
      <c r="B14" s="112" t="s">
        <v>104</v>
      </c>
      <c r="C14" s="113" t="s">
        <v>59</v>
      </c>
      <c r="D14" s="111">
        <v>36</v>
      </c>
      <c r="E14" s="111">
        <v>35</v>
      </c>
      <c r="F14" s="114">
        <v>3</v>
      </c>
      <c r="G14" s="114">
        <v>42</v>
      </c>
      <c r="H14" s="115">
        <v>172.53</v>
      </c>
      <c r="I14" s="116">
        <f>HLOOKUP($C14,'Расчет нормативных затрат'!$F$2:$K$7,6,FALSE)</f>
        <v>112.6</v>
      </c>
      <c r="J14" s="117">
        <f t="shared" si="0"/>
        <v>11823</v>
      </c>
      <c r="K14" s="117">
        <f>IF(J14&lt;'Расчет номинала'!$E$19+0.01,J14,ROUNDDOWN('Расчет номинала'!$E$19/IF(H14=0,I14,IF(I14&gt;H14,H14,I14)),0)*IF(H14=0,I14,IF(I14&gt;H14,H14,I14)))</f>
        <v>11823</v>
      </c>
      <c r="L14" s="117">
        <f t="shared" si="1"/>
        <v>496566</v>
      </c>
      <c r="M14" s="118">
        <f>IF(J14&lt;'Расчет номинала'!$E$19+0.01,E14*F14*G14,ROUNDDOWN('Расчет номинала'!$E$19/IF(H14=0,I14,IF(I14&gt;H14,H14,I14)),0)*G14)</f>
        <v>4410</v>
      </c>
      <c r="N14" s="119">
        <f t="shared" si="2"/>
        <v>0</v>
      </c>
      <c r="O14" s="120"/>
    </row>
    <row r="15" spans="1:15" s="121" customFormat="1">
      <c r="A15" s="113" t="s">
        <v>98</v>
      </c>
      <c r="B15" s="113" t="s">
        <v>96</v>
      </c>
      <c r="C15" s="113" t="s">
        <v>59</v>
      </c>
      <c r="D15" s="111">
        <v>36</v>
      </c>
      <c r="E15" s="111">
        <v>36</v>
      </c>
      <c r="F15" s="114">
        <v>2</v>
      </c>
      <c r="G15" s="114">
        <v>14</v>
      </c>
      <c r="H15" s="115">
        <v>172.53</v>
      </c>
      <c r="I15" s="116">
        <f>HLOOKUP($C15,'Расчет нормативных затрат'!$F$2:$K$7,6,FALSE)</f>
        <v>112.6</v>
      </c>
      <c r="J15" s="117">
        <f t="shared" si="0"/>
        <v>8107.2</v>
      </c>
      <c r="K15" s="117">
        <f>IF(J15&lt;'Расчет номинала'!$E$19+0.01,J15,ROUNDDOWN('Расчет номинала'!$E$19/IF(H15=0,I15,IF(I15&gt;H15,H15,I15)),0)*IF(H15=0,I15,IF(I15&gt;H15,H15,I15)))</f>
        <v>8107.2</v>
      </c>
      <c r="L15" s="117">
        <f t="shared" si="1"/>
        <v>113500.8</v>
      </c>
      <c r="M15" s="118">
        <f>IF(J15&lt;'Расчет номинала'!$E$19+0.01,E15*F15*G15,ROUNDDOWN('Расчет номинала'!$E$19/IF(H15=0,I15,IF(I15&gt;H15,H15,I15)),0)*G15)</f>
        <v>1008</v>
      </c>
      <c r="N15" s="119">
        <f t="shared" si="2"/>
        <v>0</v>
      </c>
      <c r="O15" s="120"/>
    </row>
    <row r="16" spans="1:15" s="121" customFormat="1">
      <c r="A16" s="113" t="s">
        <v>98</v>
      </c>
      <c r="B16" s="113" t="s">
        <v>103</v>
      </c>
      <c r="C16" s="113" t="s">
        <v>59</v>
      </c>
      <c r="D16" s="111">
        <v>36</v>
      </c>
      <c r="E16" s="111">
        <v>36</v>
      </c>
      <c r="F16" s="114">
        <v>4</v>
      </c>
      <c r="G16" s="114">
        <v>14</v>
      </c>
      <c r="H16" s="115">
        <v>172.53</v>
      </c>
      <c r="I16" s="116">
        <f>HLOOKUP($C16,'Расчет нормативных затрат'!$F$2:$K$7,6,FALSE)</f>
        <v>112.6</v>
      </c>
      <c r="J16" s="117">
        <f t="shared" si="0"/>
        <v>16214.4</v>
      </c>
      <c r="K16" s="117">
        <f>IF(J16&lt;'Расчет номинала'!$E$19+0.01,J16,ROUNDDOWN('Расчет номинала'!$E$19/IF(H16=0,I16,IF(I16&gt;H16,H16,I16)),0)*IF(H16=0,I16,IF(I16&gt;H16,H16,I16)))</f>
        <v>16214.4</v>
      </c>
      <c r="L16" s="117">
        <f t="shared" si="1"/>
        <v>227001.60000000001</v>
      </c>
      <c r="M16" s="118">
        <f>IF(J16&lt;'Расчет номинала'!$E$19+0.01,E16*F16*G16,ROUNDDOWN('Расчет номинала'!$E$19/IF(H16=0,I16,IF(I16&gt;H16,H16,I16)),0)*G16)</f>
        <v>2016</v>
      </c>
      <c r="N16" s="119">
        <f t="shared" si="2"/>
        <v>0</v>
      </c>
      <c r="O16" s="120"/>
    </row>
    <row r="17" spans="1:15" s="121" customFormat="1">
      <c r="A17" s="113" t="s">
        <v>98</v>
      </c>
      <c r="B17" s="113" t="s">
        <v>119</v>
      </c>
      <c r="C17" s="113" t="s">
        <v>59</v>
      </c>
      <c r="D17" s="111">
        <v>36</v>
      </c>
      <c r="E17" s="111">
        <v>36</v>
      </c>
      <c r="F17" s="114">
        <v>2</v>
      </c>
      <c r="G17" s="114">
        <v>10</v>
      </c>
      <c r="H17" s="115">
        <v>172.53</v>
      </c>
      <c r="I17" s="116">
        <f>HLOOKUP($C17,'Расчет нормативных затрат'!$F$2:$K$7,6,FALSE)</f>
        <v>112.6</v>
      </c>
      <c r="J17" s="117">
        <f t="shared" si="0"/>
        <v>8107.2</v>
      </c>
      <c r="K17" s="117">
        <f>IF(J17&lt;'Расчет номинала'!$E$19+0.01,J17,ROUNDDOWN('Расчет номинала'!$E$19/IF(H17=0,I17,IF(I17&gt;H17,H17,I17)),0)*IF(H17=0,I17,IF(I17&gt;H17,H17,I17)))</f>
        <v>8107.2</v>
      </c>
      <c r="L17" s="117">
        <f t="shared" si="1"/>
        <v>81072</v>
      </c>
      <c r="M17" s="118">
        <f>IF(J17&lt;'Расчет номинала'!$E$19+0.01,E17*F17*G17,ROUNDDOWN('Расчет номинала'!$E$19/IF(H17=0,I17,IF(I17&gt;H17,H17,I17)),0)*G17)</f>
        <v>720</v>
      </c>
      <c r="N17" s="119">
        <f t="shared" si="2"/>
        <v>0</v>
      </c>
      <c r="O17" s="120"/>
    </row>
    <row r="18" spans="1:15" s="121" customFormat="1">
      <c r="A18" s="113" t="s">
        <v>98</v>
      </c>
      <c r="B18" s="113" t="s">
        <v>120</v>
      </c>
      <c r="C18" s="113" t="s">
        <v>59</v>
      </c>
      <c r="D18" s="111">
        <v>36</v>
      </c>
      <c r="E18" s="111">
        <v>36</v>
      </c>
      <c r="F18" s="114">
        <v>4</v>
      </c>
      <c r="G18" s="114">
        <v>20</v>
      </c>
      <c r="H18" s="115">
        <v>172.53</v>
      </c>
      <c r="I18" s="116">
        <f>HLOOKUP($C18,'Расчет нормативных затрат'!$F$2:$K$7,6,FALSE)</f>
        <v>112.6</v>
      </c>
      <c r="J18" s="117">
        <f t="shared" si="0"/>
        <v>16214.4</v>
      </c>
      <c r="K18" s="117">
        <f>IF(J18&lt;'Расчет номинала'!$E$19+0.01,J18,ROUNDDOWN('Расчет номинала'!$E$19/IF(H18=0,I18,IF(I18&gt;H18,H18,I18)),0)*IF(H18=0,I18,IF(I18&gt;H18,H18,I18)))</f>
        <v>16214.4</v>
      </c>
      <c r="L18" s="117">
        <f t="shared" si="1"/>
        <v>324288</v>
      </c>
      <c r="M18" s="118">
        <f>IF(J18&lt;'Расчет номинала'!$E$19+0.01,E18*F18*G18,ROUNDDOWN('Расчет номинала'!$E$19/IF(H18=0,I18,IF(I18&gt;H18,H18,I18)),0)*G18)</f>
        <v>2880</v>
      </c>
      <c r="N18" s="119">
        <f t="shared" si="2"/>
        <v>0</v>
      </c>
      <c r="O18" s="120"/>
    </row>
    <row r="19" spans="1:15" s="121" customFormat="1">
      <c r="A19" s="113" t="s">
        <v>98</v>
      </c>
      <c r="B19" s="113" t="s">
        <v>105</v>
      </c>
      <c r="C19" s="113" t="s">
        <v>59</v>
      </c>
      <c r="D19" s="111">
        <v>36</v>
      </c>
      <c r="E19" s="111">
        <v>36</v>
      </c>
      <c r="F19" s="114">
        <v>4</v>
      </c>
      <c r="G19" s="114">
        <v>15</v>
      </c>
      <c r="H19" s="115">
        <v>172.53</v>
      </c>
      <c r="I19" s="116">
        <f>HLOOKUP($C19,'Расчет нормативных затрат'!$F$2:$K$7,6,FALSE)</f>
        <v>112.6</v>
      </c>
      <c r="J19" s="117">
        <f t="shared" si="0"/>
        <v>16214.4</v>
      </c>
      <c r="K19" s="117">
        <f>IF(J19&lt;'Расчет номинала'!$E$19+0.01,J19,ROUNDDOWN('Расчет номинала'!$E$19/IF(H19=0,I19,IF(I19&gt;H19,H19,I19)),0)*IF(H19=0,I19,IF(I19&gt;H19,H19,I19)))</f>
        <v>16214.4</v>
      </c>
      <c r="L19" s="117">
        <f t="shared" si="1"/>
        <v>243216</v>
      </c>
      <c r="M19" s="118">
        <f>IF(J19&lt;'Расчет номинала'!$E$19+0.01,E19*F19*G19,ROUNDDOWN('Расчет номинала'!$E$19/IF(H19=0,I19,IF(I19&gt;H19,H19,I19)),0)*G19)</f>
        <v>2160</v>
      </c>
      <c r="N19" s="119">
        <f t="shared" si="2"/>
        <v>0</v>
      </c>
      <c r="O19" s="120"/>
    </row>
    <row r="20" spans="1:15" s="121" customFormat="1">
      <c r="A20" s="113"/>
      <c r="B20" s="113" t="s">
        <v>121</v>
      </c>
      <c r="C20" s="113" t="s">
        <v>59</v>
      </c>
      <c r="D20" s="111">
        <v>36</v>
      </c>
      <c r="E20" s="111">
        <v>33</v>
      </c>
      <c r="F20" s="114">
        <v>2</v>
      </c>
      <c r="G20" s="114">
        <v>10</v>
      </c>
      <c r="H20" s="115">
        <v>172.53</v>
      </c>
      <c r="I20" s="116">
        <f>HLOOKUP($C20,'Расчет нормативных затрат'!$F$2:$K$7,6,FALSE)</f>
        <v>112.6</v>
      </c>
      <c r="J20" s="117">
        <f t="shared" ref="J20" si="3">IF(H20=0,I20*F20*E20,IF(I20&gt;H20,H20*F20*E20,I20*F20*E20))</f>
        <v>7431.6</v>
      </c>
      <c r="K20" s="117">
        <f>IF(J20&lt;'Расчет номинала'!$E$19+0.01,J20,ROUNDDOWN('Расчет номинала'!$E$19/IF(H20=0,I20,IF(I20&gt;H20,H20,I20)),0)*IF(H20=0,I20,IF(I20&gt;H20,H20,I20)))</f>
        <v>7431.6</v>
      </c>
      <c r="L20" s="117">
        <f t="shared" ref="L20" si="4">K20*G20</f>
        <v>74316</v>
      </c>
      <c r="M20" s="118">
        <f>IF(J20&lt;'Расчет номинала'!$E$19+0.01,E20*F20*G20,ROUNDDOWN('Расчет номинала'!$E$19/IF(H20=0,I20,IF(I20&gt;H20,H20,I20)),0)*G20)</f>
        <v>660</v>
      </c>
      <c r="N20" s="119">
        <f t="shared" ref="N20" si="5">J20-K20</f>
        <v>0</v>
      </c>
      <c r="O20" s="120"/>
    </row>
    <row r="21" spans="1:15" s="121" customFormat="1">
      <c r="A21" s="113" t="s">
        <v>98</v>
      </c>
      <c r="B21" s="113" t="s">
        <v>106</v>
      </c>
      <c r="C21" s="113" t="s">
        <v>9</v>
      </c>
      <c r="D21" s="111">
        <v>36</v>
      </c>
      <c r="E21" s="111">
        <v>25</v>
      </c>
      <c r="F21" s="114">
        <v>2</v>
      </c>
      <c r="G21" s="114">
        <v>26</v>
      </c>
      <c r="H21" s="115">
        <v>172.53</v>
      </c>
      <c r="I21" s="116">
        <f>HLOOKUP($C21,'Расчет нормативных затрат'!$F$2:$K$7,6,FALSE)</f>
        <v>109.21</v>
      </c>
      <c r="J21" s="117">
        <f t="shared" si="0"/>
        <v>5460.5</v>
      </c>
      <c r="K21" s="117">
        <f>IF(J21&lt;'Расчет номинала'!$E$19+0.01,J21,ROUNDDOWN('Расчет номинала'!$E$19/IF(H21=0,I21,IF(I21&gt;H21,H21,I21)),0)*IF(H21=0,I21,IF(I21&gt;H21,H21,I21)))</f>
        <v>5460.5</v>
      </c>
      <c r="L21" s="117">
        <f t="shared" si="1"/>
        <v>141973</v>
      </c>
      <c r="M21" s="118">
        <f>IF(J21&lt;'Расчет номинала'!$E$19+0.01,E21*F21*G21,ROUNDDOWN('Расчет номинала'!$E$19/IF(H21=0,I21,IF(I21&gt;H21,H21,I21)),0)*G21)</f>
        <v>1300</v>
      </c>
      <c r="N21" s="119">
        <f t="shared" si="2"/>
        <v>0</v>
      </c>
      <c r="O21" s="120"/>
    </row>
    <row r="22" spans="1:15" s="121" customFormat="1">
      <c r="A22" s="113" t="s">
        <v>98</v>
      </c>
      <c r="B22" s="112" t="s">
        <v>110</v>
      </c>
      <c r="C22" s="113" t="s">
        <v>9</v>
      </c>
      <c r="D22" s="111">
        <v>36</v>
      </c>
      <c r="E22" s="111">
        <v>16</v>
      </c>
      <c r="F22" s="114">
        <v>2</v>
      </c>
      <c r="G22" s="114">
        <v>25</v>
      </c>
      <c r="H22" s="115">
        <v>172.53</v>
      </c>
      <c r="I22" s="116">
        <f>HLOOKUP($C22,'Расчет нормативных затрат'!$F$2:$K$7,6,FALSE)</f>
        <v>109.21</v>
      </c>
      <c r="J22" s="117">
        <f t="shared" si="0"/>
        <v>3494.72</v>
      </c>
      <c r="K22" s="117">
        <f>IF(J22&lt;'Расчет номинала'!$E$19+0.01,J22,ROUNDDOWN('Расчет номинала'!$E$19/IF(H22=0,I22,IF(I22&gt;H22,H22,I22)),0)*IF(H22=0,I22,IF(I22&gt;H22,H22,I22)))</f>
        <v>3494.72</v>
      </c>
      <c r="L22" s="117">
        <f t="shared" si="1"/>
        <v>87368</v>
      </c>
      <c r="M22" s="118">
        <f>IF(J22&lt;'Расчет номинала'!$E$19+0.01,E22*F22*G22,ROUNDDOWN('Расчет номинала'!$E$19/IF(H22=0,I22,IF(I22&gt;H22,H22,I22)),0)*G22)</f>
        <v>800</v>
      </c>
      <c r="N22" s="119">
        <f t="shared" si="2"/>
        <v>0</v>
      </c>
      <c r="O22" s="120"/>
    </row>
    <row r="23" spans="1:15" s="121" customFormat="1">
      <c r="A23" s="113" t="s">
        <v>98</v>
      </c>
      <c r="B23" s="113" t="s">
        <v>124</v>
      </c>
      <c r="C23" s="113" t="s">
        <v>9</v>
      </c>
      <c r="D23" s="111">
        <v>36</v>
      </c>
      <c r="E23" s="111">
        <v>20</v>
      </c>
      <c r="F23" s="114">
        <v>2</v>
      </c>
      <c r="G23" s="114">
        <v>36</v>
      </c>
      <c r="H23" s="115">
        <v>172.53</v>
      </c>
      <c r="I23" s="116">
        <f>HLOOKUP($C23,'Расчет нормативных затрат'!$F$2:$K$7,6,FALSE)</f>
        <v>109.21</v>
      </c>
      <c r="J23" s="117">
        <f t="shared" si="0"/>
        <v>4368.3999999999996</v>
      </c>
      <c r="K23" s="117">
        <f>IF(J23&lt;'Расчет номинала'!$E$19+0.01,J23,ROUNDDOWN('Расчет номинала'!$E$19/IF(H23=0,I23,IF(I23&gt;H23,H23,I23)),0)*IF(H23=0,I23,IF(I23&gt;H23,H23,I23)))</f>
        <v>4368.3999999999996</v>
      </c>
      <c r="L23" s="117">
        <f t="shared" si="1"/>
        <v>157262.39999999999</v>
      </c>
      <c r="M23" s="118">
        <f>IF(J23&lt;'Расчет номинала'!$E$19+0.01,E23*F23*G23,ROUNDDOWN('Расчет номинала'!$E$19/IF(H23=0,I23,IF(I23&gt;H23,H23,I23)),0)*G23)</f>
        <v>1440</v>
      </c>
      <c r="N23" s="119">
        <f t="shared" si="2"/>
        <v>0</v>
      </c>
      <c r="O23" s="120"/>
    </row>
    <row r="24" spans="1:15" s="121" customFormat="1">
      <c r="A24" s="113" t="s">
        <v>98</v>
      </c>
      <c r="B24" s="113" t="s">
        <v>122</v>
      </c>
      <c r="C24" s="113" t="s">
        <v>12</v>
      </c>
      <c r="D24" s="111">
        <v>36</v>
      </c>
      <c r="E24" s="111">
        <v>36</v>
      </c>
      <c r="F24" s="114">
        <v>3</v>
      </c>
      <c r="G24" s="114">
        <v>14</v>
      </c>
      <c r="H24" s="115">
        <v>172.53</v>
      </c>
      <c r="I24" s="116">
        <f>HLOOKUP($C24,'Расчет нормативных затрат'!$F$2:$K$7,6,FALSE)</f>
        <v>106.98</v>
      </c>
      <c r="J24" s="117">
        <f t="shared" si="0"/>
        <v>11553.84</v>
      </c>
      <c r="K24" s="117">
        <f>IF(J24&lt;'Расчет номинала'!$E$19+0.01,J24,ROUNDDOWN('Расчет номинала'!$E$19/IF(H24=0,I24,IF(I24&gt;H24,H24,I24)),0)*IF(H24=0,I24,IF(I24&gt;H24,H24,I24)))</f>
        <v>11553.84</v>
      </c>
      <c r="L24" s="117">
        <f t="shared" si="1"/>
        <v>161753.76</v>
      </c>
      <c r="M24" s="118">
        <f>IF(J24&lt;'Расчет номинала'!$E$19+0.01,E24*F24*G24,ROUNDDOWN('Расчет номинала'!$E$19/IF(H24=0,I24,IF(I24&gt;H24,H24,I24)),0)*G24)</f>
        <v>1512</v>
      </c>
      <c r="N24" s="119">
        <f t="shared" si="2"/>
        <v>0</v>
      </c>
      <c r="O24" s="120"/>
    </row>
    <row r="25" spans="1:15" s="121" customFormat="1">
      <c r="A25" s="113" t="s">
        <v>98</v>
      </c>
      <c r="B25" s="113" t="s">
        <v>107</v>
      </c>
      <c r="C25" s="113" t="s">
        <v>9</v>
      </c>
      <c r="D25" s="111">
        <v>36</v>
      </c>
      <c r="E25" s="111">
        <v>36</v>
      </c>
      <c r="F25" s="114">
        <v>2</v>
      </c>
      <c r="G25" s="114">
        <v>16</v>
      </c>
      <c r="H25" s="115">
        <v>172.53</v>
      </c>
      <c r="I25" s="116">
        <f>HLOOKUP($C25,'Расчет нормативных затрат'!$F$2:$K$7,6,FALSE)</f>
        <v>109.21</v>
      </c>
      <c r="J25" s="117">
        <f t="shared" si="0"/>
        <v>7863.12</v>
      </c>
      <c r="K25" s="117">
        <f>IF(J25&lt;'Расчет номинала'!$E$19+0.01,J25,ROUNDDOWN('Расчет номинала'!$E$19/IF(H25=0,I25,IF(I25&gt;H25,H25,I25)),0)*IF(H25=0,I25,IF(I25&gt;H25,H25,I25)))</f>
        <v>7863.12</v>
      </c>
      <c r="L25" s="117">
        <f t="shared" si="1"/>
        <v>125809.92</v>
      </c>
      <c r="M25" s="118">
        <f>IF(J25&lt;'Расчет номинала'!$E$19+0.01,E25*F25*G25,ROUNDDOWN('Расчет номинала'!$E$19/IF(H25=0,I25,IF(I25&gt;H25,H25,I25)),0)*G25)</f>
        <v>1152</v>
      </c>
      <c r="N25" s="119">
        <f t="shared" si="2"/>
        <v>0</v>
      </c>
      <c r="O25" s="120"/>
    </row>
    <row r="26" spans="1:15" s="121" customFormat="1">
      <c r="A26" s="113" t="s">
        <v>98</v>
      </c>
      <c r="B26" s="112" t="s">
        <v>108</v>
      </c>
      <c r="C26" s="113" t="s">
        <v>9</v>
      </c>
      <c r="D26" s="111">
        <v>36</v>
      </c>
      <c r="E26" s="111">
        <v>16</v>
      </c>
      <c r="F26" s="114">
        <v>2</v>
      </c>
      <c r="G26" s="114">
        <v>25</v>
      </c>
      <c r="H26" s="115">
        <v>172.53</v>
      </c>
      <c r="I26" s="116">
        <f>HLOOKUP($C26,'Расчет нормативных затрат'!$F$2:$K$7,6,FALSE)</f>
        <v>109.21</v>
      </c>
      <c r="J26" s="117">
        <f t="shared" si="0"/>
        <v>3494.72</v>
      </c>
      <c r="K26" s="117">
        <f>IF(J26&lt;'Расчет номинала'!$E$19+0.01,J26,ROUNDDOWN('Расчет номинала'!$E$19/IF(H26=0,I26,IF(I26&gt;H26,H26,I26)),0)*IF(H26=0,I26,IF(I26&gt;H26,H26,I26)))</f>
        <v>3494.72</v>
      </c>
      <c r="L26" s="117">
        <f t="shared" si="1"/>
        <v>87368</v>
      </c>
      <c r="M26" s="118">
        <f>IF(J26&lt;'Расчет номинала'!$E$19+0.01,E26*F26*G26,ROUNDDOWN('Расчет номинала'!$E$19/IF(H26=0,I26,IF(I26&gt;H26,H26,I26)),0)*G26)</f>
        <v>800</v>
      </c>
      <c r="N26" s="119">
        <f t="shared" si="2"/>
        <v>0</v>
      </c>
      <c r="O26" s="120"/>
    </row>
    <row r="27" spans="1:15" s="121" customFormat="1">
      <c r="A27" s="113" t="s">
        <v>98</v>
      </c>
      <c r="B27" s="112" t="s">
        <v>109</v>
      </c>
      <c r="C27" s="113" t="s">
        <v>9</v>
      </c>
      <c r="D27" s="111">
        <v>36</v>
      </c>
      <c r="E27" s="111">
        <v>20</v>
      </c>
      <c r="F27" s="114">
        <v>2</v>
      </c>
      <c r="G27" s="114">
        <v>36</v>
      </c>
      <c r="H27" s="115">
        <v>172.53</v>
      </c>
      <c r="I27" s="116">
        <f>HLOOKUP($C27,'Расчет нормативных затрат'!$F$2:$K$7,6,FALSE)</f>
        <v>109.21</v>
      </c>
      <c r="J27" s="117">
        <f t="shared" si="0"/>
        <v>4368.3999999999996</v>
      </c>
      <c r="K27" s="117">
        <f>IF(J27&lt;'Расчет номинала'!$E$19+0.01,J27,ROUNDDOWN('Расчет номинала'!$E$19/IF(H27=0,I27,IF(I27&gt;H27,H27,I27)),0)*IF(H27=0,I27,IF(I27&gt;H27,H27,I27)))</f>
        <v>4368.3999999999996</v>
      </c>
      <c r="L27" s="117">
        <f t="shared" si="1"/>
        <v>157262.39999999999</v>
      </c>
      <c r="M27" s="118">
        <f>IF(J27&lt;'Расчет номинала'!$E$19+0.01,E27*F27*G27,ROUNDDOWN('Расчет номинала'!$E$19/IF(H27=0,I27,IF(I27&gt;H27,H27,I27)),0)*G27)</f>
        <v>1440</v>
      </c>
      <c r="N27" s="119">
        <f t="shared" si="2"/>
        <v>0</v>
      </c>
      <c r="O27" s="120"/>
    </row>
    <row r="28" spans="1:15" hidden="1">
      <c r="A28" s="36" t="s">
        <v>1</v>
      </c>
      <c r="B28" s="36"/>
      <c r="C28" s="36" t="s">
        <v>13</v>
      </c>
      <c r="D28" s="64"/>
      <c r="E28" s="64"/>
      <c r="F28" s="65"/>
      <c r="G28" s="65"/>
      <c r="H28" s="66"/>
      <c r="I28" s="37">
        <f>HLOOKUP($C28,'Расчет нормативных затрат'!$F$2:$K$7,6,FALSE)</f>
        <v>118.25</v>
      </c>
      <c r="J28" s="38">
        <f t="shared" si="0"/>
        <v>0</v>
      </c>
      <c r="K28" s="38">
        <f>IF(J28&lt;'Расчет номинала'!$E$19+0.01,J28,ROUNDDOWN('Расчет номинала'!$E$19/IF(H28=0,I28,IF(I28&gt;H28,H28,I28)),0)*IF(H28=0,I28,IF(I28&gt;H28,H28,I28)))</f>
        <v>0</v>
      </c>
      <c r="L28" s="38">
        <f t="shared" si="1"/>
        <v>0</v>
      </c>
      <c r="M28" s="91">
        <f>IF(J28&lt;'Расчет номинала'!$E$19+0.01,E28*F28*G28,ROUNDDOWN('Расчет номинала'!$E$19/IF(H28=0,I28,IF(I28&gt;H28,H28,I28)),0)*G28)</f>
        <v>0</v>
      </c>
      <c r="N28" s="82">
        <f t="shared" si="2"/>
        <v>0</v>
      </c>
    </row>
    <row r="29" spans="1:15" hidden="1">
      <c r="A29" s="36" t="s">
        <v>1</v>
      </c>
      <c r="B29" s="36"/>
      <c r="C29" s="36" t="s">
        <v>13</v>
      </c>
      <c r="D29" s="64"/>
      <c r="E29" s="64"/>
      <c r="F29" s="65"/>
      <c r="G29" s="65"/>
      <c r="H29" s="66"/>
      <c r="I29" s="37">
        <f>HLOOKUP($C29,'Расчет нормативных затрат'!$F$2:$K$7,6,FALSE)</f>
        <v>118.25</v>
      </c>
      <c r="J29" s="38">
        <f t="shared" si="0"/>
        <v>0</v>
      </c>
      <c r="K29" s="38">
        <f>IF(J29&lt;'Расчет номинала'!$E$19+0.01,J29,ROUNDDOWN('Расчет номинала'!$E$19/IF(H29=0,I29,IF(I29&gt;H29,H29,I29)),0)*IF(H29=0,I29,IF(I29&gt;H29,H29,I29)))</f>
        <v>0</v>
      </c>
      <c r="L29" s="38">
        <f t="shared" si="1"/>
        <v>0</v>
      </c>
      <c r="M29" s="91">
        <f>IF(J29&lt;'Расчет номинала'!$E$19+0.01,E29*F29*G29,ROUNDDOWN('Расчет номинала'!$E$19/IF(H29=0,I29,IF(I29&gt;H29,H29,I29)),0)*G29)</f>
        <v>0</v>
      </c>
      <c r="N29" s="82">
        <f t="shared" si="2"/>
        <v>0</v>
      </c>
    </row>
    <row r="30" spans="1:15" hidden="1">
      <c r="A30" s="36" t="s">
        <v>1</v>
      </c>
      <c r="B30" s="36"/>
      <c r="C30" s="36" t="s">
        <v>13</v>
      </c>
      <c r="D30" s="64"/>
      <c r="E30" s="64"/>
      <c r="F30" s="65"/>
      <c r="G30" s="65"/>
      <c r="H30" s="66"/>
      <c r="I30" s="37">
        <f>HLOOKUP($C30,'Расчет нормативных затрат'!$F$2:$K$7,6,FALSE)</f>
        <v>118.25</v>
      </c>
      <c r="J30" s="38">
        <f t="shared" si="0"/>
        <v>0</v>
      </c>
      <c r="K30" s="38">
        <f>IF(J30&lt;'Расчет номинала'!$E$19+0.01,J30,ROUNDDOWN('Расчет номинала'!$E$19/IF(H30=0,I30,IF(I30&gt;H30,H30,I30)),0)*IF(H30=0,I30,IF(I30&gt;H30,H30,I30)))</f>
        <v>0</v>
      </c>
      <c r="L30" s="38">
        <f t="shared" si="1"/>
        <v>0</v>
      </c>
      <c r="M30" s="91">
        <f>IF(J30&lt;'Расчет номинала'!$E$19+0.01,E30*F30*G30,ROUNDDOWN('Расчет номинала'!$E$19/IF(H30=0,I30,IF(I30&gt;H30,H30,I30)),0)*G30)</f>
        <v>0</v>
      </c>
      <c r="N30" s="82">
        <f t="shared" si="2"/>
        <v>0</v>
      </c>
    </row>
    <row r="31" spans="1:15" hidden="1">
      <c r="A31" s="36" t="s">
        <v>1</v>
      </c>
      <c r="B31" s="36"/>
      <c r="C31" s="36" t="s">
        <v>13</v>
      </c>
      <c r="D31" s="64"/>
      <c r="E31" s="64"/>
      <c r="F31" s="65"/>
      <c r="G31" s="65"/>
      <c r="H31" s="66"/>
      <c r="I31" s="37">
        <f>HLOOKUP($C31,'Расчет нормативных затрат'!$F$2:$K$7,6,FALSE)</f>
        <v>118.25</v>
      </c>
      <c r="J31" s="38">
        <f t="shared" si="0"/>
        <v>0</v>
      </c>
      <c r="K31" s="38">
        <f>IF(J31&lt;'Расчет номинала'!$E$19+0.01,J31,ROUNDDOWN('Расчет номинала'!$E$19/IF(H31=0,I31,IF(I31&gt;H31,H31,I31)),0)*IF(H31=0,I31,IF(I31&gt;H31,H31,I31)))</f>
        <v>0</v>
      </c>
      <c r="L31" s="38">
        <f t="shared" si="1"/>
        <v>0</v>
      </c>
      <c r="M31" s="91">
        <f>IF(J31&lt;'Расчет номинала'!$E$19+0.01,E31*F31*G31,ROUNDDOWN('Расчет номинала'!$E$19/IF(H31=0,I31,IF(I31&gt;H31,H31,I31)),0)*G31)</f>
        <v>0</v>
      </c>
      <c r="N31" s="82">
        <f t="shared" si="2"/>
        <v>0</v>
      </c>
    </row>
    <row r="32" spans="1:15" hidden="1">
      <c r="A32" s="36" t="s">
        <v>1</v>
      </c>
      <c r="B32" s="36"/>
      <c r="C32" s="36" t="s">
        <v>13</v>
      </c>
      <c r="D32" s="64"/>
      <c r="E32" s="64"/>
      <c r="F32" s="65"/>
      <c r="G32" s="65"/>
      <c r="H32" s="66"/>
      <c r="I32" s="37">
        <f>HLOOKUP($C32,'Расчет нормативных затрат'!$F$2:$K$7,6,FALSE)</f>
        <v>118.25</v>
      </c>
      <c r="J32" s="38">
        <f t="shared" si="0"/>
        <v>0</v>
      </c>
      <c r="K32" s="38">
        <f>IF(J32&lt;'Расчет номинала'!$E$19+0.01,J32,ROUNDDOWN('Расчет номинала'!$E$19/IF(H32=0,I32,IF(I32&gt;H32,H32,I32)),0)*IF(H32=0,I32,IF(I32&gt;H32,H32,I32)))</f>
        <v>0</v>
      </c>
      <c r="L32" s="38">
        <f t="shared" si="1"/>
        <v>0</v>
      </c>
      <c r="M32" s="91">
        <f>IF(J32&lt;'Расчет номинала'!$E$19+0.01,E32*F32*G32,ROUNDDOWN('Расчет номинала'!$E$19/IF(H32=0,I32,IF(I32&gt;H32,H32,I32)),0)*G32)</f>
        <v>0</v>
      </c>
      <c r="N32" s="82">
        <f t="shared" si="2"/>
        <v>0</v>
      </c>
    </row>
    <row r="33" spans="1:15" hidden="1">
      <c r="A33" s="36" t="s">
        <v>1</v>
      </c>
      <c r="B33" s="36"/>
      <c r="C33" s="36" t="s">
        <v>13</v>
      </c>
      <c r="D33" s="64"/>
      <c r="E33" s="64"/>
      <c r="F33" s="65"/>
      <c r="G33" s="65"/>
      <c r="H33" s="66"/>
      <c r="I33" s="37">
        <f>HLOOKUP($C33,'Расчет нормативных затрат'!$F$2:$K$7,6,FALSE)</f>
        <v>118.25</v>
      </c>
      <c r="J33" s="38">
        <f t="shared" si="0"/>
        <v>0</v>
      </c>
      <c r="K33" s="38">
        <f>IF(J33&lt;'Расчет номинала'!$E$19+0.01,J33,ROUNDDOWN('Расчет номинала'!$E$19/IF(H33=0,I33,IF(I33&gt;H33,H33,I33)),0)*IF(H33=0,I33,IF(I33&gt;H33,H33,I33)))</f>
        <v>0</v>
      </c>
      <c r="L33" s="38">
        <f t="shared" si="1"/>
        <v>0</v>
      </c>
      <c r="M33" s="91">
        <f>IF(J33&lt;'Расчет номинала'!$E$19+0.01,E33*F33*G33,ROUNDDOWN('Расчет номинала'!$E$19/IF(H33=0,I33,IF(I33&gt;H33,H33,I33)),0)*G33)</f>
        <v>0</v>
      </c>
      <c r="N33" s="82">
        <f t="shared" si="2"/>
        <v>0</v>
      </c>
    </row>
    <row r="34" spans="1:15">
      <c r="A34" s="136"/>
      <c r="B34" s="136"/>
      <c r="C34" s="136"/>
      <c r="D34" s="136"/>
      <c r="E34" s="136"/>
      <c r="F34" s="136"/>
      <c r="G34" s="39">
        <f>SUM(G2:G33)</f>
        <v>588</v>
      </c>
      <c r="H34" s="40" t="s">
        <v>45</v>
      </c>
      <c r="I34" s="41" t="s">
        <v>45</v>
      </c>
      <c r="J34" s="41" t="s">
        <v>45</v>
      </c>
      <c r="K34" s="41" t="s">
        <v>45</v>
      </c>
      <c r="L34" s="40">
        <f>SUM(L2:L33)</f>
        <v>6140767.8799999999</v>
      </c>
      <c r="M34" s="92">
        <f>SUM(M2:M33)</f>
        <v>53138</v>
      </c>
      <c r="N34" s="41" t="s">
        <v>45</v>
      </c>
      <c r="O34" s="90"/>
    </row>
    <row r="35" spans="1:15" ht="15.75" customHeight="1">
      <c r="G35" s="52"/>
      <c r="I35" s="138" t="s">
        <v>89</v>
      </c>
      <c r="J35" s="138"/>
      <c r="K35" s="138"/>
      <c r="L35" s="83">
        <f>'Расчет номинала'!G2-L34</f>
        <v>3961072.12</v>
      </c>
      <c r="M35" s="83"/>
    </row>
    <row r="36" spans="1:15" ht="15.75" customHeight="1">
      <c r="G36" s="44">
        <v>588</v>
      </c>
      <c r="J36" s="137" t="s">
        <v>97</v>
      </c>
      <c r="K36" s="137"/>
      <c r="L36" s="84">
        <f>L35/'Расчет номинала'!G2</f>
        <v>0.39</v>
      </c>
      <c r="M36" s="84"/>
    </row>
  </sheetData>
  <mergeCells count="3">
    <mergeCell ref="A34:F34"/>
    <mergeCell ref="J36:K36"/>
    <mergeCell ref="I35:K35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50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82"/>
  <sheetViews>
    <sheetView showZeros="0" view="pageBreakPreview" zoomScale="76" zoomScaleNormal="80" zoomScaleSheetLayoutView="76" workbookViewId="0">
      <selection activeCell="L10" sqref="L10"/>
    </sheetView>
  </sheetViews>
  <sheetFormatPr defaultColWidth="10.875" defaultRowHeight="15.75"/>
  <cols>
    <col min="1" max="1" width="31.875" style="2" customWidth="1"/>
    <col min="2" max="3" width="14.125" style="2" customWidth="1"/>
    <col min="4" max="4" width="18.5" style="2" customWidth="1"/>
    <col min="5" max="5" width="14.875" style="2" customWidth="1"/>
    <col min="6" max="6" width="15.375" style="2" customWidth="1"/>
    <col min="7" max="7" width="17.875" style="2" customWidth="1"/>
    <col min="8" max="8" width="24.875" style="2" customWidth="1"/>
    <col min="9" max="9" width="16.625" style="2" customWidth="1"/>
    <col min="10" max="11" width="10.875" style="2"/>
    <col min="12" max="12" width="14.375" style="2" bestFit="1" customWidth="1"/>
    <col min="13" max="13" width="15.5" style="2" bestFit="1" customWidth="1"/>
    <col min="14" max="14" width="13.875" style="2" bestFit="1" customWidth="1"/>
    <col min="15" max="16384" width="10.875" style="2"/>
  </cols>
  <sheetData>
    <row r="1" spans="1:14" ht="47.25">
      <c r="A1" s="55" t="s">
        <v>0</v>
      </c>
      <c r="B1" s="145" t="str">
        <f>'Расчет номинала'!A2</f>
        <v>Беломорский МР</v>
      </c>
      <c r="C1" s="145"/>
      <c r="D1" s="56" t="s">
        <v>79</v>
      </c>
      <c r="E1" s="67">
        <f>'Расчет номинала'!G2</f>
        <v>10101840</v>
      </c>
      <c r="F1" s="141" t="s">
        <v>91</v>
      </c>
      <c r="G1" s="141"/>
      <c r="H1" s="57" t="s">
        <v>85</v>
      </c>
      <c r="I1" s="100"/>
      <c r="J1" s="101"/>
    </row>
    <row r="2" spans="1:14">
      <c r="B2" s="58"/>
      <c r="C2" s="58"/>
      <c r="D2" s="58"/>
      <c r="E2" s="95"/>
      <c r="F2" s="142">
        <f>H2-E1</f>
        <v>-3961072.12</v>
      </c>
      <c r="G2" s="142"/>
      <c r="H2" s="106">
        <f>H12+H24</f>
        <v>6140767.8799999999</v>
      </c>
    </row>
    <row r="4" spans="1:14" ht="47.25" customHeight="1">
      <c r="A4" s="107" t="str">
        <f>'Расчет номинала'!B4</f>
        <v>МАОУ ДО "Беломорский ЦДО</v>
      </c>
      <c r="B4" s="143" t="s">
        <v>90</v>
      </c>
      <c r="C4" s="144"/>
      <c r="D4" s="70">
        <f>'Расчет номинала'!B$16</f>
        <v>13212000</v>
      </c>
      <c r="E4" s="143" t="s">
        <v>80</v>
      </c>
      <c r="F4" s="144"/>
      <c r="G4" s="70">
        <f>IF(D14=0,F12+H12+E13,F12+H12+D14+G14)</f>
        <v>4288972.88</v>
      </c>
    </row>
    <row r="5" spans="1:14" s="18" customFormat="1" ht="78.75">
      <c r="A5" s="59" t="s">
        <v>26</v>
      </c>
      <c r="B5" s="59" t="s">
        <v>48</v>
      </c>
      <c r="C5" s="59" t="s">
        <v>51</v>
      </c>
      <c r="D5" s="60" t="s">
        <v>72</v>
      </c>
      <c r="E5" s="60" t="s">
        <v>73</v>
      </c>
      <c r="F5" s="96" t="s">
        <v>74</v>
      </c>
      <c r="G5" s="96" t="s">
        <v>75</v>
      </c>
      <c r="H5" s="60" t="s">
        <v>76</v>
      </c>
    </row>
    <row r="6" spans="1:14">
      <c r="A6" s="61" t="s">
        <v>9</v>
      </c>
      <c r="B6" s="68">
        <f>'Расчет номинала'!B9</f>
        <v>117.19</v>
      </c>
      <c r="C6" s="68">
        <f>'Расчет нормативных затрат'!F$7</f>
        <v>109.21</v>
      </c>
      <c r="D6" s="69"/>
      <c r="E6" s="69"/>
      <c r="F6" s="70"/>
      <c r="G6" s="69">
        <v>6932</v>
      </c>
      <c r="H6" s="93">
        <f>G6*C6</f>
        <v>757043.72</v>
      </c>
    </row>
    <row r="7" spans="1:14">
      <c r="A7" s="61" t="s">
        <v>10</v>
      </c>
      <c r="B7" s="68">
        <f>'Расчет номинала'!B10</f>
        <v>0</v>
      </c>
      <c r="C7" s="68">
        <f>'Расчет нормативных затрат'!G$7</f>
        <v>106.98</v>
      </c>
      <c r="D7" s="69"/>
      <c r="E7" s="69"/>
      <c r="F7" s="70"/>
      <c r="G7" s="69">
        <v>0</v>
      </c>
      <c r="H7" s="93">
        <f>G7*B7</f>
        <v>0</v>
      </c>
    </row>
    <row r="8" spans="1:14">
      <c r="A8" s="61" t="s">
        <v>11</v>
      </c>
      <c r="B8" s="68">
        <f>'Расчет номинала'!B11</f>
        <v>117.19</v>
      </c>
      <c r="C8" s="68">
        <f>'Расчет нормативных затрат'!H$7</f>
        <v>119.25</v>
      </c>
      <c r="D8" s="69"/>
      <c r="E8" s="69"/>
      <c r="F8" s="70"/>
      <c r="G8" s="69">
        <v>15180</v>
      </c>
      <c r="H8" s="93">
        <f>G8*C8</f>
        <v>1810215</v>
      </c>
    </row>
    <row r="9" spans="1:14">
      <c r="A9" s="61" t="s">
        <v>12</v>
      </c>
      <c r="B9" s="68">
        <f>'Расчет номинала'!B12</f>
        <v>117.19</v>
      </c>
      <c r="C9" s="68">
        <f>'Расчет нормативных затрат'!I$7</f>
        <v>106.98</v>
      </c>
      <c r="D9" s="69"/>
      <c r="E9" s="69"/>
      <c r="F9" s="70"/>
      <c r="G9" s="69">
        <v>1512</v>
      </c>
      <c r="H9" s="93">
        <f>G9*C9</f>
        <v>161753.76</v>
      </c>
    </row>
    <row r="10" spans="1:14">
      <c r="A10" s="61" t="s">
        <v>13</v>
      </c>
      <c r="B10" s="68">
        <f>'Расчет номинала'!B13</f>
        <v>0</v>
      </c>
      <c r="C10" s="68">
        <f>'Расчет нормативных затрат'!J$7</f>
        <v>118.25</v>
      </c>
      <c r="D10" s="69"/>
      <c r="E10" s="69"/>
      <c r="F10" s="70"/>
      <c r="G10" s="69">
        <v>0</v>
      </c>
      <c r="H10" s="93">
        <f>G10*B10</f>
        <v>0</v>
      </c>
    </row>
    <row r="11" spans="1:14">
      <c r="A11" s="1" t="s">
        <v>59</v>
      </c>
      <c r="B11" s="68">
        <f>'Расчет номинала'!B14</f>
        <v>117.19</v>
      </c>
      <c r="C11" s="68">
        <f>'Расчет нормативных затрат'!K$7</f>
        <v>112.6</v>
      </c>
      <c r="D11" s="69"/>
      <c r="E11" s="69"/>
      <c r="F11" s="70">
        <f>B11*E11</f>
        <v>0</v>
      </c>
      <c r="G11" s="69">
        <v>13854</v>
      </c>
      <c r="H11" s="93">
        <f>G11*C11</f>
        <v>1559960.4</v>
      </c>
    </row>
    <row r="12" spans="1:14">
      <c r="A12" s="62" t="s">
        <v>49</v>
      </c>
      <c r="B12" s="63" t="s">
        <v>45</v>
      </c>
      <c r="C12" s="63" t="s">
        <v>45</v>
      </c>
      <c r="D12" s="71">
        <f>SUM(D6:D11)</f>
        <v>0</v>
      </c>
      <c r="E12" s="71">
        <f>SUM(E6:E11)</f>
        <v>0</v>
      </c>
      <c r="F12" s="72">
        <f>SUM(F6:F11)</f>
        <v>0</v>
      </c>
      <c r="G12" s="71">
        <f>SUM(G6:G11)</f>
        <v>37478</v>
      </c>
      <c r="H12" s="94">
        <f>SUM(H6:H11)</f>
        <v>4288972.88</v>
      </c>
      <c r="I12" s="28">
        <f>E12+G12</f>
        <v>37478</v>
      </c>
      <c r="M12" s="124">
        <f>D4-H12</f>
        <v>8923027.1199999992</v>
      </c>
      <c r="N12" s="125">
        <f>H12</f>
        <v>4288972.88</v>
      </c>
    </row>
    <row r="13" spans="1:14" ht="49.5" customHeight="1">
      <c r="A13" s="97" t="s">
        <v>83</v>
      </c>
      <c r="B13" s="147" t="s">
        <v>84</v>
      </c>
      <c r="C13" s="148"/>
      <c r="D13" s="149"/>
      <c r="E13" s="103">
        <v>0</v>
      </c>
      <c r="F13" s="98" t="s">
        <v>45</v>
      </c>
      <c r="G13" s="98" t="s">
        <v>45</v>
      </c>
      <c r="H13" s="59" t="s">
        <v>81</v>
      </c>
      <c r="N13" s="110">
        <f>M12+N12</f>
        <v>13212000</v>
      </c>
    </row>
    <row r="14" spans="1:14" ht="33" customHeight="1">
      <c r="A14" s="97" t="s">
        <v>77</v>
      </c>
      <c r="B14" s="146" t="s">
        <v>82</v>
      </c>
      <c r="C14" s="146"/>
      <c r="D14" s="102"/>
      <c r="E14" s="139" t="s">
        <v>78</v>
      </c>
      <c r="F14" s="140"/>
      <c r="G14" s="102"/>
      <c r="H14" s="99"/>
    </row>
    <row r="15" spans="1:14" s="7" customFormat="1" ht="33" customHeight="1"/>
    <row r="16" spans="1:14" ht="52.5" customHeight="1">
      <c r="A16" s="107" t="str">
        <f>'Расчет номинала'!D4</f>
        <v>МАОУ ДО "Беломорская ДЮСШ"</v>
      </c>
      <c r="B16" s="143" t="s">
        <v>90</v>
      </c>
      <c r="C16" s="144"/>
      <c r="D16" s="70">
        <f>'Расчет номинала'!D$16</f>
        <v>11535400</v>
      </c>
      <c r="E16" s="145" t="s">
        <v>80</v>
      </c>
      <c r="F16" s="145"/>
      <c r="G16" s="70">
        <f>IF(D26=0,F24+H24+E25,F24+H24+D26+G26)</f>
        <v>4130795</v>
      </c>
    </row>
    <row r="17" spans="1:13" ht="78.75">
      <c r="A17" s="59" t="s">
        <v>26</v>
      </c>
      <c r="B17" s="59" t="s">
        <v>48</v>
      </c>
      <c r="C17" s="59" t="s">
        <v>51</v>
      </c>
      <c r="D17" s="60" t="s">
        <v>72</v>
      </c>
      <c r="E17" s="60" t="s">
        <v>73</v>
      </c>
      <c r="F17" s="96" t="s">
        <v>74</v>
      </c>
      <c r="G17" s="96" t="s">
        <v>75</v>
      </c>
      <c r="H17" s="60" t="s">
        <v>76</v>
      </c>
    </row>
    <row r="18" spans="1:13">
      <c r="A18" s="61" t="s">
        <v>9</v>
      </c>
      <c r="B18" s="68">
        <f>'Расчет номинала'!D9</f>
        <v>0</v>
      </c>
      <c r="C18" s="68">
        <f>'Расчет нормативных затрат'!F$7</f>
        <v>109.21</v>
      </c>
      <c r="D18" s="69"/>
      <c r="E18" s="69"/>
      <c r="F18" s="70">
        <f t="shared" ref="F18:F23" si="0">(D18+E18)*B18</f>
        <v>0</v>
      </c>
      <c r="G18" s="69"/>
      <c r="H18" s="93">
        <f t="shared" ref="H18:H23" si="1">IF(B18&lt;C18,B18*G18,C18*G18)</f>
        <v>0</v>
      </c>
    </row>
    <row r="19" spans="1:13">
      <c r="A19" s="61" t="s">
        <v>10</v>
      </c>
      <c r="B19" s="68">
        <f>'Расчет номинала'!D10</f>
        <v>0</v>
      </c>
      <c r="C19" s="68">
        <f>'Расчет нормативных затрат'!G$7</f>
        <v>106.98</v>
      </c>
      <c r="D19" s="69"/>
      <c r="E19" s="69"/>
      <c r="F19" s="70">
        <f t="shared" si="0"/>
        <v>0</v>
      </c>
      <c r="G19" s="69"/>
      <c r="H19" s="93">
        <f t="shared" si="1"/>
        <v>0</v>
      </c>
      <c r="L19" s="126">
        <f>D16-E25-H24</f>
        <v>7404605</v>
      </c>
      <c r="M19" s="127">
        <f>H24</f>
        <v>1851795</v>
      </c>
    </row>
    <row r="20" spans="1:13">
      <c r="A20" s="61" t="s">
        <v>11</v>
      </c>
      <c r="B20" s="68">
        <f>'Расчет номинала'!D11</f>
        <v>0</v>
      </c>
      <c r="C20" s="68">
        <f>'Расчет нормативных затрат'!H$7</f>
        <v>119.25</v>
      </c>
      <c r="D20" s="69"/>
      <c r="E20" s="69"/>
      <c r="F20" s="70">
        <f t="shared" si="0"/>
        <v>0</v>
      </c>
      <c r="G20" s="69"/>
      <c r="H20" s="93">
        <f t="shared" si="1"/>
        <v>0</v>
      </c>
      <c r="M20" s="123">
        <f>L19+M19</f>
        <v>9256400</v>
      </c>
    </row>
    <row r="21" spans="1:13">
      <c r="A21" s="61" t="s">
        <v>12</v>
      </c>
      <c r="B21" s="68">
        <f>'Расчет номинала'!D12</f>
        <v>0</v>
      </c>
      <c r="C21" s="68">
        <f>'Расчет нормативных затрат'!I$7</f>
        <v>106.98</v>
      </c>
      <c r="D21" s="69"/>
      <c r="E21" s="69"/>
      <c r="F21" s="70">
        <f t="shared" si="0"/>
        <v>0</v>
      </c>
      <c r="G21" s="69"/>
      <c r="H21" s="93">
        <f t="shared" si="1"/>
        <v>0</v>
      </c>
    </row>
    <row r="22" spans="1:13">
      <c r="A22" s="61" t="s">
        <v>13</v>
      </c>
      <c r="B22" s="68">
        <f>'Расчет номинала'!D13</f>
        <v>212.97</v>
      </c>
      <c r="C22" s="68">
        <f>'Расчет нормативных затрат'!J$7</f>
        <v>118.25</v>
      </c>
      <c r="D22" s="69"/>
      <c r="E22" s="69"/>
      <c r="F22" s="70"/>
      <c r="G22" s="69">
        <v>15660</v>
      </c>
      <c r="H22" s="93">
        <f>G22*C22</f>
        <v>1851795</v>
      </c>
      <c r="I22" s="28">
        <f>E22+G22</f>
        <v>15660</v>
      </c>
    </row>
    <row r="23" spans="1:13">
      <c r="A23" s="1" t="s">
        <v>59</v>
      </c>
      <c r="B23" s="68">
        <f>'Расчет номинала'!D14</f>
        <v>0</v>
      </c>
      <c r="C23" s="68">
        <f>'Расчет нормативных затрат'!K$7</f>
        <v>112.6</v>
      </c>
      <c r="D23" s="69"/>
      <c r="E23" s="69"/>
      <c r="F23" s="70">
        <f t="shared" si="0"/>
        <v>0</v>
      </c>
      <c r="G23" s="69"/>
      <c r="H23" s="93">
        <f t="shared" si="1"/>
        <v>0</v>
      </c>
    </row>
    <row r="24" spans="1:13">
      <c r="A24" s="62" t="s">
        <v>49</v>
      </c>
      <c r="B24" s="63" t="s">
        <v>45</v>
      </c>
      <c r="C24" s="63" t="s">
        <v>45</v>
      </c>
      <c r="D24" s="71">
        <f>SUM(D18:D23)</f>
        <v>0</v>
      </c>
      <c r="E24" s="71">
        <f>SUM(E18:E23)</f>
        <v>0</v>
      </c>
      <c r="F24" s="72">
        <f>SUM(F18:F23)</f>
        <v>0</v>
      </c>
      <c r="G24" s="71">
        <f>SUM(G18:G23)</f>
        <v>15660</v>
      </c>
      <c r="H24" s="94">
        <f>SUM(H18:H23)</f>
        <v>1851795</v>
      </c>
    </row>
    <row r="25" spans="1:13" ht="47.25">
      <c r="A25" s="97" t="s">
        <v>83</v>
      </c>
      <c r="B25" s="147" t="s">
        <v>84</v>
      </c>
      <c r="C25" s="148"/>
      <c r="D25" s="149"/>
      <c r="E25" s="103">
        <v>2279000</v>
      </c>
      <c r="F25" s="98" t="s">
        <v>45</v>
      </c>
      <c r="G25" s="98" t="s">
        <v>45</v>
      </c>
      <c r="H25" s="59" t="s">
        <v>81</v>
      </c>
    </row>
    <row r="26" spans="1:13" ht="31.5" customHeight="1">
      <c r="A26" s="97" t="s">
        <v>77</v>
      </c>
      <c r="B26" s="146" t="s">
        <v>82</v>
      </c>
      <c r="C26" s="146"/>
      <c r="D26" s="102"/>
      <c r="E26" s="139" t="s">
        <v>78</v>
      </c>
      <c r="F26" s="140"/>
      <c r="G26" s="102"/>
      <c r="H26" s="99"/>
    </row>
    <row r="28" spans="1:13" ht="46.5" hidden="1" customHeight="1">
      <c r="A28" s="107">
        <f>'Расчет номинала'!F4</f>
        <v>0</v>
      </c>
      <c r="B28" s="143" t="s">
        <v>90</v>
      </c>
      <c r="C28" s="144"/>
      <c r="D28" s="70">
        <f>'Расчет номинала'!F$16</f>
        <v>0</v>
      </c>
      <c r="E28" s="145" t="s">
        <v>80</v>
      </c>
      <c r="F28" s="145"/>
      <c r="G28" s="70">
        <f>IF(D38=0,F36+H36+E37,F36+H36+D38+G38)</f>
        <v>0</v>
      </c>
    </row>
    <row r="29" spans="1:13" ht="78.75" hidden="1">
      <c r="A29" s="59" t="s">
        <v>26</v>
      </c>
      <c r="B29" s="59" t="s">
        <v>48</v>
      </c>
      <c r="C29" s="59" t="s">
        <v>51</v>
      </c>
      <c r="D29" s="60" t="s">
        <v>72</v>
      </c>
      <c r="E29" s="60" t="s">
        <v>73</v>
      </c>
      <c r="F29" s="96" t="s">
        <v>74</v>
      </c>
      <c r="G29" s="96" t="s">
        <v>75</v>
      </c>
      <c r="H29" s="60" t="s">
        <v>76</v>
      </c>
    </row>
    <row r="30" spans="1:13" hidden="1">
      <c r="A30" s="61" t="s">
        <v>9</v>
      </c>
      <c r="B30" s="68">
        <f>'Расчет номинала'!F9</f>
        <v>0</v>
      </c>
      <c r="C30" s="68">
        <f>'Расчет нормативных затрат'!F$7</f>
        <v>109.21</v>
      </c>
      <c r="D30" s="69"/>
      <c r="E30" s="69"/>
      <c r="F30" s="70">
        <f t="shared" ref="F30:F35" si="2">(D30+E30)*B30</f>
        <v>0</v>
      </c>
      <c r="G30" s="69"/>
      <c r="H30" s="93">
        <f t="shared" ref="H30:H35" si="3">IF(B30&lt;C30,B30*G30,C30*G30)</f>
        <v>0</v>
      </c>
    </row>
    <row r="31" spans="1:13" hidden="1">
      <c r="A31" s="61" t="s">
        <v>10</v>
      </c>
      <c r="B31" s="68">
        <f>'Расчет номинала'!F10</f>
        <v>0</v>
      </c>
      <c r="C31" s="68">
        <f>'Расчет нормативных затрат'!G$7</f>
        <v>106.98</v>
      </c>
      <c r="D31" s="69"/>
      <c r="E31" s="69"/>
      <c r="F31" s="70">
        <f t="shared" si="2"/>
        <v>0</v>
      </c>
      <c r="G31" s="69"/>
      <c r="H31" s="93">
        <f t="shared" si="3"/>
        <v>0</v>
      </c>
    </row>
    <row r="32" spans="1:13" hidden="1">
      <c r="A32" s="61" t="s">
        <v>11</v>
      </c>
      <c r="B32" s="68">
        <f>'Расчет номинала'!F11</f>
        <v>0</v>
      </c>
      <c r="C32" s="68">
        <f>'Расчет нормативных затрат'!H$7</f>
        <v>119.25</v>
      </c>
      <c r="D32" s="69"/>
      <c r="E32" s="69"/>
      <c r="F32" s="70">
        <f t="shared" si="2"/>
        <v>0</v>
      </c>
      <c r="G32" s="69"/>
      <c r="H32" s="93">
        <f>G32*B32</f>
        <v>0</v>
      </c>
      <c r="I32" s="28">
        <f>G32+E32</f>
        <v>0</v>
      </c>
    </row>
    <row r="33" spans="1:13" hidden="1">
      <c r="A33" s="61" t="s">
        <v>12</v>
      </c>
      <c r="B33" s="68">
        <f>'Расчет номинала'!F12</f>
        <v>0</v>
      </c>
      <c r="C33" s="68">
        <f>'Расчет нормативных затрат'!I$7</f>
        <v>106.98</v>
      </c>
      <c r="D33" s="69"/>
      <c r="E33" s="69"/>
      <c r="F33" s="70">
        <f t="shared" si="2"/>
        <v>0</v>
      </c>
      <c r="G33" s="69"/>
      <c r="H33" s="93">
        <f t="shared" si="3"/>
        <v>0</v>
      </c>
    </row>
    <row r="34" spans="1:13" hidden="1">
      <c r="A34" s="61" t="s">
        <v>13</v>
      </c>
      <c r="B34" s="68">
        <f>'Расчет номинала'!F13</f>
        <v>0</v>
      </c>
      <c r="C34" s="68">
        <f>'Расчет нормативных затрат'!J$7</f>
        <v>118.25</v>
      </c>
      <c r="D34" s="69"/>
      <c r="E34" s="69"/>
      <c r="F34" s="70">
        <f t="shared" si="2"/>
        <v>0</v>
      </c>
      <c r="G34" s="69"/>
      <c r="H34" s="93">
        <f t="shared" si="3"/>
        <v>0</v>
      </c>
    </row>
    <row r="35" spans="1:13" hidden="1">
      <c r="A35" s="1" t="s">
        <v>59</v>
      </c>
      <c r="B35" s="68">
        <f>'Расчет номинала'!F14</f>
        <v>0</v>
      </c>
      <c r="C35" s="68">
        <f>'Расчет нормативных затрат'!K$7</f>
        <v>112.6</v>
      </c>
      <c r="D35" s="69"/>
      <c r="E35" s="69"/>
      <c r="F35" s="70">
        <f t="shared" si="2"/>
        <v>0</v>
      </c>
      <c r="G35" s="69"/>
      <c r="H35" s="93">
        <f t="shared" si="3"/>
        <v>0</v>
      </c>
    </row>
    <row r="36" spans="1:13" hidden="1">
      <c r="A36" s="62" t="s">
        <v>49</v>
      </c>
      <c r="B36" s="63" t="s">
        <v>45</v>
      </c>
      <c r="C36" s="63" t="s">
        <v>45</v>
      </c>
      <c r="D36" s="71">
        <f>SUM(D30:D35)</f>
        <v>0</v>
      </c>
      <c r="E36" s="71">
        <f>SUM(E30:E35)</f>
        <v>0</v>
      </c>
      <c r="F36" s="72">
        <f>SUM(F30:F35)</f>
        <v>0</v>
      </c>
      <c r="G36" s="71">
        <f>SUM(G30:G35)</f>
        <v>0</v>
      </c>
      <c r="H36" s="94">
        <f>SUM(H30:H35)</f>
        <v>0</v>
      </c>
      <c r="L36" s="33">
        <f>F36-H38</f>
        <v>0</v>
      </c>
      <c r="M36" s="33">
        <f>H36</f>
        <v>0</v>
      </c>
    </row>
    <row r="37" spans="1:13" ht="47.25" hidden="1">
      <c r="A37" s="97" t="s">
        <v>83</v>
      </c>
      <c r="B37" s="147" t="s">
        <v>84</v>
      </c>
      <c r="C37" s="148"/>
      <c r="D37" s="149"/>
      <c r="E37" s="103"/>
      <c r="F37" s="98" t="s">
        <v>45</v>
      </c>
      <c r="G37" s="98" t="s">
        <v>45</v>
      </c>
      <c r="H37" s="59" t="s">
        <v>81</v>
      </c>
      <c r="M37" s="110">
        <f>L36+M36</f>
        <v>0</v>
      </c>
    </row>
    <row r="38" spans="1:13" hidden="1">
      <c r="A38" s="97" t="s">
        <v>77</v>
      </c>
      <c r="B38" s="146" t="s">
        <v>82</v>
      </c>
      <c r="C38" s="146"/>
      <c r="D38" s="102"/>
      <c r="E38" s="139" t="s">
        <v>78</v>
      </c>
      <c r="F38" s="140"/>
      <c r="G38" s="102"/>
      <c r="H38" s="99">
        <f>G28-D28</f>
        <v>0</v>
      </c>
      <c r="M38" s="122">
        <f>E37</f>
        <v>0</v>
      </c>
    </row>
    <row r="39" spans="1:13" hidden="1">
      <c r="M39" s="123">
        <f>M37+M38</f>
        <v>0</v>
      </c>
    </row>
    <row r="40" spans="1:13" ht="45" hidden="1" customHeight="1">
      <c r="A40" s="107" t="str">
        <f>'Расчет номинала'!H4</f>
        <v>Организация 4</v>
      </c>
      <c r="B40" s="143" t="s">
        <v>90</v>
      </c>
      <c r="C40" s="144"/>
      <c r="D40" s="70">
        <f>'Расчет номинала'!H$16</f>
        <v>0</v>
      </c>
      <c r="E40" s="145" t="s">
        <v>80</v>
      </c>
      <c r="F40" s="145"/>
      <c r="G40" s="70">
        <f>IF(D50=0,F48+H48+E49,F48+H48+D50+G50)</f>
        <v>0</v>
      </c>
    </row>
    <row r="41" spans="1:13" ht="78.75" hidden="1">
      <c r="A41" s="59" t="s">
        <v>26</v>
      </c>
      <c r="B41" s="59" t="s">
        <v>48</v>
      </c>
      <c r="C41" s="59" t="s">
        <v>51</v>
      </c>
      <c r="D41" s="60" t="s">
        <v>72</v>
      </c>
      <c r="E41" s="60" t="s">
        <v>73</v>
      </c>
      <c r="F41" s="96" t="s">
        <v>74</v>
      </c>
      <c r="G41" s="96" t="s">
        <v>75</v>
      </c>
      <c r="H41" s="60" t="s">
        <v>76</v>
      </c>
    </row>
    <row r="42" spans="1:13" hidden="1">
      <c r="A42" s="61" t="s">
        <v>9</v>
      </c>
      <c r="B42" s="68">
        <f>'Расчет номинала'!H$9</f>
        <v>0</v>
      </c>
      <c r="C42" s="68">
        <f>'Расчет нормативных затрат'!F$7</f>
        <v>109.21</v>
      </c>
      <c r="D42" s="69"/>
      <c r="E42" s="69"/>
      <c r="F42" s="70">
        <f t="shared" ref="F42:F47" si="4">(D42+E42)*B42</f>
        <v>0</v>
      </c>
      <c r="G42" s="69"/>
      <c r="H42" s="93">
        <f t="shared" ref="H42:H47" si="5">IF(B42&lt;C42,B42*G42,C42*G42)</f>
        <v>0</v>
      </c>
    </row>
    <row r="43" spans="1:13" hidden="1">
      <c r="A43" s="61" t="s">
        <v>10</v>
      </c>
      <c r="B43" s="68">
        <f>'Расчет номинала'!H10</f>
        <v>0</v>
      </c>
      <c r="C43" s="68">
        <f>'Расчет нормативных затрат'!G$7</f>
        <v>106.98</v>
      </c>
      <c r="D43" s="69"/>
      <c r="E43" s="69"/>
      <c r="F43" s="70">
        <f t="shared" si="4"/>
        <v>0</v>
      </c>
      <c r="G43" s="69"/>
      <c r="H43" s="93">
        <f t="shared" si="5"/>
        <v>0</v>
      </c>
    </row>
    <row r="44" spans="1:13" hidden="1">
      <c r="A44" s="61" t="s">
        <v>11</v>
      </c>
      <c r="B44" s="68">
        <f>'Расчет номинала'!H11</f>
        <v>0</v>
      </c>
      <c r="C44" s="68">
        <f>'Расчет нормативных затрат'!H$7</f>
        <v>119.25</v>
      </c>
      <c r="D44" s="69"/>
      <c r="E44" s="69"/>
      <c r="F44" s="70">
        <f t="shared" si="4"/>
        <v>0</v>
      </c>
      <c r="G44" s="69"/>
      <c r="H44" s="93">
        <f t="shared" si="5"/>
        <v>0</v>
      </c>
    </row>
    <row r="45" spans="1:13" hidden="1">
      <c r="A45" s="61" t="s">
        <v>12</v>
      </c>
      <c r="B45" s="68">
        <f>'Расчет номинала'!H12</f>
        <v>0</v>
      </c>
      <c r="C45" s="68">
        <f>'Расчет нормативных затрат'!I$7</f>
        <v>106.98</v>
      </c>
      <c r="D45" s="69"/>
      <c r="E45" s="69"/>
      <c r="F45" s="70">
        <f t="shared" si="4"/>
        <v>0</v>
      </c>
      <c r="G45" s="69"/>
      <c r="H45" s="93">
        <f t="shared" si="5"/>
        <v>0</v>
      </c>
    </row>
    <row r="46" spans="1:13" hidden="1">
      <c r="A46" s="61" t="s">
        <v>13</v>
      </c>
      <c r="B46" s="68">
        <f>'Расчет номинала'!H13</f>
        <v>0</v>
      </c>
      <c r="C46" s="68">
        <f>'Расчет нормативных затрат'!J$7</f>
        <v>118.25</v>
      </c>
      <c r="D46" s="69"/>
      <c r="E46" s="69"/>
      <c r="F46" s="70">
        <f t="shared" si="4"/>
        <v>0</v>
      </c>
      <c r="G46" s="69"/>
      <c r="H46" s="93">
        <f t="shared" si="5"/>
        <v>0</v>
      </c>
    </row>
    <row r="47" spans="1:13" hidden="1">
      <c r="A47" s="1" t="s">
        <v>59</v>
      </c>
      <c r="B47" s="68">
        <f>'Расчет номинала'!H14</f>
        <v>0</v>
      </c>
      <c r="C47" s="68">
        <f>'Расчет нормативных затрат'!K$7</f>
        <v>112.6</v>
      </c>
      <c r="D47" s="69"/>
      <c r="E47" s="69"/>
      <c r="F47" s="70">
        <f t="shared" si="4"/>
        <v>0</v>
      </c>
      <c r="G47" s="69"/>
      <c r="H47" s="93">
        <f t="shared" si="5"/>
        <v>0</v>
      </c>
    </row>
    <row r="48" spans="1:13" hidden="1">
      <c r="A48" s="62" t="s">
        <v>49</v>
      </c>
      <c r="B48" s="63" t="s">
        <v>45</v>
      </c>
      <c r="C48" s="63" t="s">
        <v>45</v>
      </c>
      <c r="D48" s="71">
        <f>SUM(D42:D47)</f>
        <v>0</v>
      </c>
      <c r="E48" s="71">
        <f>SUM(E42:E47)</f>
        <v>0</v>
      </c>
      <c r="F48" s="72">
        <f>SUM(F42:F47)</f>
        <v>0</v>
      </c>
      <c r="G48" s="71">
        <f>SUM(G42:G47)</f>
        <v>0</v>
      </c>
      <c r="H48" s="94">
        <f>SUM(H42:H47)</f>
        <v>0</v>
      </c>
    </row>
    <row r="49" spans="1:8" ht="47.25" hidden="1">
      <c r="A49" s="97" t="s">
        <v>83</v>
      </c>
      <c r="B49" s="147" t="s">
        <v>84</v>
      </c>
      <c r="C49" s="148"/>
      <c r="D49" s="149"/>
      <c r="E49" s="103"/>
      <c r="F49" s="98" t="s">
        <v>45</v>
      </c>
      <c r="G49" s="98" t="s">
        <v>45</v>
      </c>
      <c r="H49" s="59" t="s">
        <v>81</v>
      </c>
    </row>
    <row r="50" spans="1:8" hidden="1">
      <c r="A50" s="97" t="s">
        <v>77</v>
      </c>
      <c r="B50" s="146" t="s">
        <v>82</v>
      </c>
      <c r="C50" s="146"/>
      <c r="D50" s="102"/>
      <c r="E50" s="139" t="s">
        <v>78</v>
      </c>
      <c r="F50" s="140"/>
      <c r="G50" s="102"/>
      <c r="H50" s="99">
        <f>G40-D40</f>
        <v>0</v>
      </c>
    </row>
    <row r="51" spans="1:8" hidden="1"/>
    <row r="52" spans="1:8" ht="46.5" hidden="1" customHeight="1">
      <c r="A52" s="107" t="str">
        <f>'Расчет номинала'!J4</f>
        <v>Организация 5</v>
      </c>
      <c r="B52" s="143" t="s">
        <v>90</v>
      </c>
      <c r="C52" s="144"/>
      <c r="D52" s="70">
        <f>'Расчет номинала'!J$16</f>
        <v>0</v>
      </c>
      <c r="E52" s="145" t="s">
        <v>80</v>
      </c>
      <c r="F52" s="145"/>
      <c r="G52" s="70">
        <f>IF(D62=0,F60+H60+E61,F60+H60+D62+G62)</f>
        <v>0</v>
      </c>
    </row>
    <row r="53" spans="1:8" ht="78.75" hidden="1">
      <c r="A53" s="59" t="s">
        <v>26</v>
      </c>
      <c r="B53" s="59" t="s">
        <v>48</v>
      </c>
      <c r="C53" s="59" t="s">
        <v>51</v>
      </c>
      <c r="D53" s="60" t="s">
        <v>72</v>
      </c>
      <c r="E53" s="60" t="s">
        <v>73</v>
      </c>
      <c r="F53" s="96" t="s">
        <v>74</v>
      </c>
      <c r="G53" s="96" t="s">
        <v>75</v>
      </c>
      <c r="H53" s="60" t="s">
        <v>76</v>
      </c>
    </row>
    <row r="54" spans="1:8" hidden="1">
      <c r="A54" s="61" t="s">
        <v>9</v>
      </c>
      <c r="B54" s="68">
        <f>'Расчет номинала'!J$9</f>
        <v>0</v>
      </c>
      <c r="C54" s="68">
        <f>'Расчет нормативных затрат'!F$7</f>
        <v>109.21</v>
      </c>
      <c r="D54" s="69"/>
      <c r="E54" s="69"/>
      <c r="F54" s="70">
        <f t="shared" ref="F54:F59" si="6">(D54+E54)*B54</f>
        <v>0</v>
      </c>
      <c r="G54" s="69"/>
      <c r="H54" s="93">
        <f t="shared" ref="H54:H59" si="7">IF(B54&lt;C54,B54*G54,C54*G54)</f>
        <v>0</v>
      </c>
    </row>
    <row r="55" spans="1:8" hidden="1">
      <c r="A55" s="61" t="s">
        <v>10</v>
      </c>
      <c r="B55" s="68">
        <f>'Расчет номинала'!J10</f>
        <v>0</v>
      </c>
      <c r="C55" s="68">
        <f>'Расчет нормативных затрат'!G$7</f>
        <v>106.98</v>
      </c>
      <c r="D55" s="69"/>
      <c r="E55" s="69"/>
      <c r="F55" s="70">
        <f t="shared" si="6"/>
        <v>0</v>
      </c>
      <c r="G55" s="69"/>
      <c r="H55" s="93">
        <f t="shared" si="7"/>
        <v>0</v>
      </c>
    </row>
    <row r="56" spans="1:8" hidden="1">
      <c r="A56" s="61" t="s">
        <v>11</v>
      </c>
      <c r="B56" s="68">
        <f>'Расчет номинала'!J11</f>
        <v>0</v>
      </c>
      <c r="C56" s="68">
        <f>'Расчет нормативных затрат'!H$7</f>
        <v>119.25</v>
      </c>
      <c r="D56" s="69"/>
      <c r="E56" s="69"/>
      <c r="F56" s="70">
        <f t="shared" si="6"/>
        <v>0</v>
      </c>
      <c r="G56" s="69"/>
      <c r="H56" s="93">
        <f t="shared" si="7"/>
        <v>0</v>
      </c>
    </row>
    <row r="57" spans="1:8" hidden="1">
      <c r="A57" s="61" t="s">
        <v>12</v>
      </c>
      <c r="B57" s="68">
        <f>'Расчет номинала'!J12</f>
        <v>0</v>
      </c>
      <c r="C57" s="68">
        <f>'Расчет нормативных затрат'!I$7</f>
        <v>106.98</v>
      </c>
      <c r="D57" s="69"/>
      <c r="E57" s="69"/>
      <c r="F57" s="70">
        <f t="shared" si="6"/>
        <v>0</v>
      </c>
      <c r="G57" s="69"/>
      <c r="H57" s="93">
        <f t="shared" si="7"/>
        <v>0</v>
      </c>
    </row>
    <row r="58" spans="1:8" hidden="1">
      <c r="A58" s="61" t="s">
        <v>13</v>
      </c>
      <c r="B58" s="68">
        <f>'Расчет номинала'!J13</f>
        <v>0</v>
      </c>
      <c r="C58" s="68">
        <f>'Расчет нормативных затрат'!J$7</f>
        <v>118.25</v>
      </c>
      <c r="D58" s="69"/>
      <c r="E58" s="69"/>
      <c r="F58" s="70">
        <f t="shared" si="6"/>
        <v>0</v>
      </c>
      <c r="G58" s="69"/>
      <c r="H58" s="93">
        <f t="shared" si="7"/>
        <v>0</v>
      </c>
    </row>
    <row r="59" spans="1:8" hidden="1">
      <c r="A59" s="1" t="s">
        <v>59</v>
      </c>
      <c r="B59" s="68">
        <f>'Расчет номинала'!J14</f>
        <v>0</v>
      </c>
      <c r="C59" s="68">
        <f>'Расчет нормативных затрат'!K$7</f>
        <v>112.6</v>
      </c>
      <c r="D59" s="69"/>
      <c r="E59" s="69"/>
      <c r="F59" s="70">
        <f t="shared" si="6"/>
        <v>0</v>
      </c>
      <c r="G59" s="69"/>
      <c r="H59" s="93">
        <f t="shared" si="7"/>
        <v>0</v>
      </c>
    </row>
    <row r="60" spans="1:8" hidden="1">
      <c r="A60" s="62" t="s">
        <v>49</v>
      </c>
      <c r="B60" s="63" t="s">
        <v>45</v>
      </c>
      <c r="C60" s="63" t="s">
        <v>45</v>
      </c>
      <c r="D60" s="71">
        <f>SUM(D54:D59)</f>
        <v>0</v>
      </c>
      <c r="E60" s="71">
        <f>SUM(E54:E59)</f>
        <v>0</v>
      </c>
      <c r="F60" s="72">
        <f>SUM(F54:F59)</f>
        <v>0</v>
      </c>
      <c r="G60" s="71">
        <f>SUM(G54:G59)</f>
        <v>0</v>
      </c>
      <c r="H60" s="94">
        <f>SUM(H54:H59)</f>
        <v>0</v>
      </c>
    </row>
    <row r="61" spans="1:8" ht="47.25" hidden="1">
      <c r="A61" s="97" t="s">
        <v>83</v>
      </c>
      <c r="B61" s="147" t="s">
        <v>84</v>
      </c>
      <c r="C61" s="148"/>
      <c r="D61" s="149"/>
      <c r="E61" s="103"/>
      <c r="F61" s="98" t="s">
        <v>45</v>
      </c>
      <c r="G61" s="98" t="s">
        <v>45</v>
      </c>
      <c r="H61" s="59" t="s">
        <v>81</v>
      </c>
    </row>
    <row r="62" spans="1:8" hidden="1">
      <c r="A62" s="97" t="s">
        <v>77</v>
      </c>
      <c r="B62" s="146" t="s">
        <v>82</v>
      </c>
      <c r="C62" s="146"/>
      <c r="D62" s="102"/>
      <c r="E62" s="139" t="s">
        <v>78</v>
      </c>
      <c r="F62" s="140"/>
      <c r="G62" s="102"/>
      <c r="H62" s="99">
        <f>G52-D52</f>
        <v>0</v>
      </c>
    </row>
    <row r="63" spans="1:8" hidden="1"/>
    <row r="64" spans="1:8" ht="45.75" hidden="1" customHeight="1">
      <c r="A64" s="107" t="str">
        <f>'Расчет номинала'!L4</f>
        <v>Организация 6</v>
      </c>
      <c r="B64" s="143" t="s">
        <v>90</v>
      </c>
      <c r="C64" s="144"/>
      <c r="D64" s="70">
        <f>'Расчет номинала'!L$16</f>
        <v>0</v>
      </c>
      <c r="E64" s="145" t="s">
        <v>80</v>
      </c>
      <c r="F64" s="145"/>
      <c r="G64" s="70">
        <f>IF(D74=0,F72+H72+E73,F72+H72+D74+G74)</f>
        <v>0</v>
      </c>
    </row>
    <row r="65" spans="1:8" ht="78.75" hidden="1">
      <c r="A65" s="59" t="s">
        <v>26</v>
      </c>
      <c r="B65" s="59" t="s">
        <v>48</v>
      </c>
      <c r="C65" s="59" t="s">
        <v>51</v>
      </c>
      <c r="D65" s="60" t="s">
        <v>72</v>
      </c>
      <c r="E65" s="60" t="s">
        <v>73</v>
      </c>
      <c r="F65" s="96" t="s">
        <v>74</v>
      </c>
      <c r="G65" s="96" t="s">
        <v>75</v>
      </c>
      <c r="H65" s="60" t="s">
        <v>76</v>
      </c>
    </row>
    <row r="66" spans="1:8" hidden="1">
      <c r="A66" s="61" t="s">
        <v>9</v>
      </c>
      <c r="B66" s="68">
        <f>'Расчет номинала'!L$9</f>
        <v>0</v>
      </c>
      <c r="C66" s="68">
        <f>'Расчет нормативных затрат'!F$7</f>
        <v>109.21</v>
      </c>
      <c r="D66" s="69"/>
      <c r="E66" s="69"/>
      <c r="F66" s="70">
        <f t="shared" ref="F66:F71" si="8">(D66+E66)*B66</f>
        <v>0</v>
      </c>
      <c r="G66" s="69"/>
      <c r="H66" s="93">
        <f t="shared" ref="H66:H71" si="9">IF(B66&lt;C66,B66*G66,C66*G66)</f>
        <v>0</v>
      </c>
    </row>
    <row r="67" spans="1:8" hidden="1">
      <c r="A67" s="61" t="s">
        <v>10</v>
      </c>
      <c r="B67" s="68">
        <f>'Расчет номинала'!L10</f>
        <v>0</v>
      </c>
      <c r="C67" s="68">
        <f>'Расчет нормативных затрат'!G$7</f>
        <v>106.98</v>
      </c>
      <c r="D67" s="69"/>
      <c r="E67" s="69"/>
      <c r="F67" s="70">
        <f t="shared" si="8"/>
        <v>0</v>
      </c>
      <c r="G67" s="69"/>
      <c r="H67" s="93">
        <f t="shared" si="9"/>
        <v>0</v>
      </c>
    </row>
    <row r="68" spans="1:8" hidden="1">
      <c r="A68" s="61" t="s">
        <v>11</v>
      </c>
      <c r="B68" s="68">
        <f>'Расчет номинала'!L11</f>
        <v>0</v>
      </c>
      <c r="C68" s="68">
        <f>'Расчет нормативных затрат'!H$7</f>
        <v>119.25</v>
      </c>
      <c r="D68" s="69"/>
      <c r="E68" s="69"/>
      <c r="F68" s="70">
        <f t="shared" si="8"/>
        <v>0</v>
      </c>
      <c r="G68" s="69"/>
      <c r="H68" s="93">
        <f t="shared" si="9"/>
        <v>0</v>
      </c>
    </row>
    <row r="69" spans="1:8" hidden="1">
      <c r="A69" s="61" t="s">
        <v>12</v>
      </c>
      <c r="B69" s="68">
        <f>'Расчет номинала'!L12</f>
        <v>0</v>
      </c>
      <c r="C69" s="68">
        <f>'Расчет нормативных затрат'!I$7</f>
        <v>106.98</v>
      </c>
      <c r="D69" s="69"/>
      <c r="E69" s="69"/>
      <c r="F69" s="70">
        <f t="shared" si="8"/>
        <v>0</v>
      </c>
      <c r="G69" s="69"/>
      <c r="H69" s="93">
        <f t="shared" si="9"/>
        <v>0</v>
      </c>
    </row>
    <row r="70" spans="1:8" hidden="1">
      <c r="A70" s="61" t="s">
        <v>13</v>
      </c>
      <c r="B70" s="68">
        <f>'Расчет номинала'!L13</f>
        <v>0</v>
      </c>
      <c r="C70" s="68">
        <f>'Расчет нормативных затрат'!J$7</f>
        <v>118.25</v>
      </c>
      <c r="D70" s="69"/>
      <c r="E70" s="69"/>
      <c r="F70" s="70">
        <f t="shared" si="8"/>
        <v>0</v>
      </c>
      <c r="G70" s="69"/>
      <c r="H70" s="93">
        <f t="shared" si="9"/>
        <v>0</v>
      </c>
    </row>
    <row r="71" spans="1:8" hidden="1">
      <c r="A71" s="1" t="s">
        <v>59</v>
      </c>
      <c r="B71" s="68">
        <f>'Расчет номинала'!L14</f>
        <v>0</v>
      </c>
      <c r="C71" s="68">
        <f>'Расчет нормативных затрат'!K$7</f>
        <v>112.6</v>
      </c>
      <c r="D71" s="69"/>
      <c r="E71" s="69"/>
      <c r="F71" s="70">
        <f t="shared" si="8"/>
        <v>0</v>
      </c>
      <c r="G71" s="69"/>
      <c r="H71" s="93">
        <f t="shared" si="9"/>
        <v>0</v>
      </c>
    </row>
    <row r="72" spans="1:8" hidden="1">
      <c r="A72" s="62" t="s">
        <v>49</v>
      </c>
      <c r="B72" s="63" t="s">
        <v>45</v>
      </c>
      <c r="C72" s="63" t="s">
        <v>45</v>
      </c>
      <c r="D72" s="71">
        <f>SUM(D66:D71)</f>
        <v>0</v>
      </c>
      <c r="E72" s="71">
        <f>SUM(E66:E71)</f>
        <v>0</v>
      </c>
      <c r="F72" s="72">
        <f>SUM(F66:F71)</f>
        <v>0</v>
      </c>
      <c r="G72" s="71">
        <f>SUM(G66:G71)</f>
        <v>0</v>
      </c>
      <c r="H72" s="94">
        <f>SUM(H66:H71)</f>
        <v>0</v>
      </c>
    </row>
    <row r="73" spans="1:8" ht="47.25" hidden="1">
      <c r="A73" s="97" t="s">
        <v>83</v>
      </c>
      <c r="B73" s="147" t="s">
        <v>84</v>
      </c>
      <c r="C73" s="148"/>
      <c r="D73" s="149"/>
      <c r="E73" s="103"/>
      <c r="F73" s="98" t="s">
        <v>45</v>
      </c>
      <c r="G73" s="98" t="s">
        <v>45</v>
      </c>
      <c r="H73" s="59" t="s">
        <v>81</v>
      </c>
    </row>
    <row r="74" spans="1:8" hidden="1">
      <c r="A74" s="97" t="s">
        <v>77</v>
      </c>
      <c r="B74" s="146" t="s">
        <v>82</v>
      </c>
      <c r="C74" s="146"/>
      <c r="D74" s="102"/>
      <c r="E74" s="139" t="s">
        <v>78</v>
      </c>
      <c r="F74" s="140"/>
      <c r="G74" s="102"/>
      <c r="H74" s="99">
        <f>G64-D64</f>
        <v>0</v>
      </c>
    </row>
    <row r="75" spans="1:8" hidden="1"/>
    <row r="76" spans="1:8" ht="46.5" hidden="1" customHeight="1">
      <c r="A76" s="107" t="str">
        <f>'Расчет номинала'!N4</f>
        <v>Организация 7</v>
      </c>
      <c r="B76" s="143" t="s">
        <v>90</v>
      </c>
      <c r="C76" s="144"/>
      <c r="D76" s="70">
        <f>'Расчет номинала'!N$16</f>
        <v>0</v>
      </c>
      <c r="E76" s="145" t="s">
        <v>80</v>
      </c>
      <c r="F76" s="145"/>
      <c r="G76" s="70">
        <f>IF(D86=0,F84+H84+E85,F84+H84+D86+G86)</f>
        <v>0</v>
      </c>
    </row>
    <row r="77" spans="1:8" ht="78.75" hidden="1">
      <c r="A77" s="59" t="s">
        <v>26</v>
      </c>
      <c r="B77" s="59" t="s">
        <v>48</v>
      </c>
      <c r="C77" s="59" t="s">
        <v>51</v>
      </c>
      <c r="D77" s="60" t="s">
        <v>72</v>
      </c>
      <c r="E77" s="60" t="s">
        <v>73</v>
      </c>
      <c r="F77" s="96" t="s">
        <v>74</v>
      </c>
      <c r="G77" s="96" t="s">
        <v>75</v>
      </c>
      <c r="H77" s="60" t="s">
        <v>76</v>
      </c>
    </row>
    <row r="78" spans="1:8" hidden="1">
      <c r="A78" s="61" t="s">
        <v>9</v>
      </c>
      <c r="B78" s="68">
        <f>'Расчет номинала'!N$9</f>
        <v>0</v>
      </c>
      <c r="C78" s="68">
        <f>'Расчет нормативных затрат'!F$7</f>
        <v>109.21</v>
      </c>
      <c r="D78" s="69"/>
      <c r="E78" s="69"/>
      <c r="F78" s="70">
        <f t="shared" ref="F78:F83" si="10">(D78+E78)*B78</f>
        <v>0</v>
      </c>
      <c r="G78" s="69"/>
      <c r="H78" s="93">
        <f t="shared" ref="H78:H83" si="11">IF(B78&lt;C78,B78*G78,C78*G78)</f>
        <v>0</v>
      </c>
    </row>
    <row r="79" spans="1:8" hidden="1">
      <c r="A79" s="61" t="s">
        <v>10</v>
      </c>
      <c r="B79" s="68">
        <f>'Расчет номинала'!N10</f>
        <v>0</v>
      </c>
      <c r="C79" s="68">
        <f>'Расчет нормативных затрат'!G$7</f>
        <v>106.98</v>
      </c>
      <c r="D79" s="69"/>
      <c r="E79" s="69"/>
      <c r="F79" s="70">
        <f t="shared" si="10"/>
        <v>0</v>
      </c>
      <c r="G79" s="69"/>
      <c r="H79" s="93">
        <f t="shared" si="11"/>
        <v>0</v>
      </c>
    </row>
    <row r="80" spans="1:8" hidden="1">
      <c r="A80" s="61" t="s">
        <v>11</v>
      </c>
      <c r="B80" s="68">
        <f>'Расчет номинала'!N11</f>
        <v>0</v>
      </c>
      <c r="C80" s="68">
        <f>'Расчет нормативных затрат'!H$7</f>
        <v>119.25</v>
      </c>
      <c r="D80" s="69"/>
      <c r="E80" s="69"/>
      <c r="F80" s="70">
        <f t="shared" si="10"/>
        <v>0</v>
      </c>
      <c r="G80" s="69"/>
      <c r="H80" s="93">
        <f t="shared" si="11"/>
        <v>0</v>
      </c>
    </row>
    <row r="81" spans="1:8" hidden="1">
      <c r="A81" s="61" t="s">
        <v>12</v>
      </c>
      <c r="B81" s="68">
        <f>'Расчет номинала'!N12</f>
        <v>0</v>
      </c>
      <c r="C81" s="68">
        <f>'Расчет нормативных затрат'!I$7</f>
        <v>106.98</v>
      </c>
      <c r="D81" s="69"/>
      <c r="E81" s="69"/>
      <c r="F81" s="70">
        <f t="shared" si="10"/>
        <v>0</v>
      </c>
      <c r="G81" s="69"/>
      <c r="H81" s="93">
        <f t="shared" si="11"/>
        <v>0</v>
      </c>
    </row>
    <row r="82" spans="1:8" hidden="1">
      <c r="A82" s="61" t="s">
        <v>13</v>
      </c>
      <c r="B82" s="68">
        <f>'Расчет номинала'!N13</f>
        <v>0</v>
      </c>
      <c r="C82" s="68">
        <f>'Расчет нормативных затрат'!J$7</f>
        <v>118.25</v>
      </c>
      <c r="D82" s="69"/>
      <c r="E82" s="69"/>
      <c r="F82" s="70">
        <f t="shared" si="10"/>
        <v>0</v>
      </c>
      <c r="G82" s="69"/>
      <c r="H82" s="93">
        <f t="shared" si="11"/>
        <v>0</v>
      </c>
    </row>
    <row r="83" spans="1:8" hidden="1">
      <c r="A83" s="1" t="s">
        <v>59</v>
      </c>
      <c r="B83" s="68">
        <f>'Расчет номинала'!N14</f>
        <v>0</v>
      </c>
      <c r="C83" s="68">
        <f>'Расчет нормативных затрат'!K$7</f>
        <v>112.6</v>
      </c>
      <c r="D83" s="69"/>
      <c r="E83" s="69"/>
      <c r="F83" s="70">
        <f t="shared" si="10"/>
        <v>0</v>
      </c>
      <c r="G83" s="69"/>
      <c r="H83" s="93">
        <f t="shared" si="11"/>
        <v>0</v>
      </c>
    </row>
    <row r="84" spans="1:8" hidden="1">
      <c r="A84" s="62" t="s">
        <v>49</v>
      </c>
      <c r="B84" s="63" t="s">
        <v>45</v>
      </c>
      <c r="C84" s="63" t="s">
        <v>45</v>
      </c>
      <c r="D84" s="71">
        <f>SUM(D78:D83)</f>
        <v>0</v>
      </c>
      <c r="E84" s="71">
        <f>SUM(E78:E83)</f>
        <v>0</v>
      </c>
      <c r="F84" s="72">
        <f>SUM(F78:F83)</f>
        <v>0</v>
      </c>
      <c r="G84" s="71">
        <f>SUM(G78:G83)</f>
        <v>0</v>
      </c>
      <c r="H84" s="94">
        <f>SUM(H78:H83)</f>
        <v>0</v>
      </c>
    </row>
    <row r="85" spans="1:8" ht="47.25" hidden="1">
      <c r="A85" s="97" t="s">
        <v>83</v>
      </c>
      <c r="B85" s="147" t="s">
        <v>84</v>
      </c>
      <c r="C85" s="148"/>
      <c r="D85" s="149"/>
      <c r="E85" s="103"/>
      <c r="F85" s="98" t="s">
        <v>45</v>
      </c>
      <c r="G85" s="98" t="s">
        <v>45</v>
      </c>
      <c r="H85" s="59" t="s">
        <v>81</v>
      </c>
    </row>
    <row r="86" spans="1:8" hidden="1">
      <c r="A86" s="97" t="s">
        <v>77</v>
      </c>
      <c r="B86" s="146" t="s">
        <v>82</v>
      </c>
      <c r="C86" s="146"/>
      <c r="D86" s="102"/>
      <c r="E86" s="139" t="s">
        <v>78</v>
      </c>
      <c r="F86" s="140"/>
      <c r="G86" s="102"/>
      <c r="H86" s="99">
        <f>G76-D76</f>
        <v>0</v>
      </c>
    </row>
    <row r="87" spans="1:8" hidden="1"/>
    <row r="88" spans="1:8" ht="45.75" hidden="1" customHeight="1">
      <c r="A88" s="107" t="str">
        <f>'Расчет номинала'!P4</f>
        <v>Организация 8</v>
      </c>
      <c r="B88" s="143" t="s">
        <v>90</v>
      </c>
      <c r="C88" s="144"/>
      <c r="D88" s="70">
        <f>'Расчет номинала'!P$16</f>
        <v>0</v>
      </c>
      <c r="E88" s="145" t="s">
        <v>80</v>
      </c>
      <c r="F88" s="145"/>
      <c r="G88" s="70">
        <f>IF(D98=0,F96+H96+E97,F96+H96+D98+G98)</f>
        <v>0</v>
      </c>
    </row>
    <row r="89" spans="1:8" ht="78.75" hidden="1">
      <c r="A89" s="59" t="s">
        <v>26</v>
      </c>
      <c r="B89" s="59" t="s">
        <v>48</v>
      </c>
      <c r="C89" s="59" t="s">
        <v>51</v>
      </c>
      <c r="D89" s="60" t="s">
        <v>72</v>
      </c>
      <c r="E89" s="60" t="s">
        <v>73</v>
      </c>
      <c r="F89" s="96" t="s">
        <v>74</v>
      </c>
      <c r="G89" s="96" t="s">
        <v>75</v>
      </c>
      <c r="H89" s="60" t="s">
        <v>76</v>
      </c>
    </row>
    <row r="90" spans="1:8" hidden="1">
      <c r="A90" s="61" t="s">
        <v>9</v>
      </c>
      <c r="B90" s="68">
        <f>'Расчет номинала'!P$9</f>
        <v>0</v>
      </c>
      <c r="C90" s="68">
        <f>'Расчет нормативных затрат'!F$7</f>
        <v>109.21</v>
      </c>
      <c r="D90" s="69"/>
      <c r="E90" s="69"/>
      <c r="F90" s="70">
        <f t="shared" ref="F90:F95" si="12">(D90+E90)*B90</f>
        <v>0</v>
      </c>
      <c r="G90" s="69"/>
      <c r="H90" s="93">
        <f t="shared" ref="H90:H95" si="13">IF(B90&lt;C90,B90*G90,C90*G90)</f>
        <v>0</v>
      </c>
    </row>
    <row r="91" spans="1:8" hidden="1">
      <c r="A91" s="61" t="s">
        <v>10</v>
      </c>
      <c r="B91" s="68">
        <f>'Расчет номинала'!P10</f>
        <v>0</v>
      </c>
      <c r="C91" s="68">
        <f>'Расчет нормативных затрат'!G$7</f>
        <v>106.98</v>
      </c>
      <c r="D91" s="69"/>
      <c r="E91" s="69"/>
      <c r="F91" s="70">
        <f t="shared" si="12"/>
        <v>0</v>
      </c>
      <c r="G91" s="69"/>
      <c r="H91" s="93">
        <f t="shared" si="13"/>
        <v>0</v>
      </c>
    </row>
    <row r="92" spans="1:8" hidden="1">
      <c r="A92" s="61" t="s">
        <v>11</v>
      </c>
      <c r="B92" s="68">
        <f>'Расчет номинала'!P11</f>
        <v>0</v>
      </c>
      <c r="C92" s="68">
        <f>'Расчет нормативных затрат'!H$7</f>
        <v>119.25</v>
      </c>
      <c r="D92" s="69"/>
      <c r="E92" s="69"/>
      <c r="F92" s="70">
        <f t="shared" si="12"/>
        <v>0</v>
      </c>
      <c r="G92" s="69"/>
      <c r="H92" s="93">
        <f t="shared" si="13"/>
        <v>0</v>
      </c>
    </row>
    <row r="93" spans="1:8" hidden="1">
      <c r="A93" s="61" t="s">
        <v>12</v>
      </c>
      <c r="B93" s="68">
        <f>'Расчет номинала'!P12</f>
        <v>0</v>
      </c>
      <c r="C93" s="68">
        <f>'Расчет нормативных затрат'!I$7</f>
        <v>106.98</v>
      </c>
      <c r="D93" s="69"/>
      <c r="E93" s="69"/>
      <c r="F93" s="70">
        <f t="shared" si="12"/>
        <v>0</v>
      </c>
      <c r="G93" s="69"/>
      <c r="H93" s="93">
        <f t="shared" si="13"/>
        <v>0</v>
      </c>
    </row>
    <row r="94" spans="1:8" hidden="1">
      <c r="A94" s="61" t="s">
        <v>13</v>
      </c>
      <c r="B94" s="68">
        <f>'Расчет номинала'!P13</f>
        <v>0</v>
      </c>
      <c r="C94" s="68">
        <f>'Расчет нормативных затрат'!J$7</f>
        <v>118.25</v>
      </c>
      <c r="D94" s="69"/>
      <c r="E94" s="69"/>
      <c r="F94" s="70">
        <f t="shared" si="12"/>
        <v>0</v>
      </c>
      <c r="G94" s="69"/>
      <c r="H94" s="93">
        <f t="shared" si="13"/>
        <v>0</v>
      </c>
    </row>
    <row r="95" spans="1:8" hidden="1">
      <c r="A95" s="1" t="s">
        <v>59</v>
      </c>
      <c r="B95" s="68">
        <f>'Расчет номинала'!P14</f>
        <v>0</v>
      </c>
      <c r="C95" s="68">
        <f>'Расчет нормативных затрат'!K$7</f>
        <v>112.6</v>
      </c>
      <c r="D95" s="69"/>
      <c r="E95" s="69"/>
      <c r="F95" s="70">
        <f t="shared" si="12"/>
        <v>0</v>
      </c>
      <c r="G95" s="69"/>
      <c r="H95" s="93">
        <f t="shared" si="13"/>
        <v>0</v>
      </c>
    </row>
    <row r="96" spans="1:8" hidden="1">
      <c r="A96" s="62" t="s">
        <v>49</v>
      </c>
      <c r="B96" s="63" t="s">
        <v>45</v>
      </c>
      <c r="C96" s="63" t="s">
        <v>45</v>
      </c>
      <c r="D96" s="71">
        <f>SUM(D90:D95)</f>
        <v>0</v>
      </c>
      <c r="E96" s="71">
        <f>SUM(E90:E95)</f>
        <v>0</v>
      </c>
      <c r="F96" s="72">
        <f>SUM(F90:F95)</f>
        <v>0</v>
      </c>
      <c r="G96" s="71">
        <f>SUM(G90:G95)</f>
        <v>0</v>
      </c>
      <c r="H96" s="94">
        <f>SUM(H90:H95)</f>
        <v>0</v>
      </c>
    </row>
    <row r="97" spans="1:8" ht="47.25" hidden="1">
      <c r="A97" s="97" t="s">
        <v>83</v>
      </c>
      <c r="B97" s="147" t="s">
        <v>84</v>
      </c>
      <c r="C97" s="148"/>
      <c r="D97" s="149"/>
      <c r="E97" s="103"/>
      <c r="F97" s="98" t="s">
        <v>45</v>
      </c>
      <c r="G97" s="98" t="s">
        <v>45</v>
      </c>
      <c r="H97" s="59" t="s">
        <v>81</v>
      </c>
    </row>
    <row r="98" spans="1:8" hidden="1">
      <c r="A98" s="97" t="s">
        <v>77</v>
      </c>
      <c r="B98" s="146" t="s">
        <v>82</v>
      </c>
      <c r="C98" s="146"/>
      <c r="D98" s="102"/>
      <c r="E98" s="139" t="s">
        <v>78</v>
      </c>
      <c r="F98" s="140"/>
      <c r="G98" s="102"/>
      <c r="H98" s="99">
        <f>G88-D88</f>
        <v>0</v>
      </c>
    </row>
    <row r="99" spans="1:8" hidden="1"/>
    <row r="100" spans="1:8" ht="45.75" hidden="1" customHeight="1">
      <c r="A100" s="107" t="str">
        <f>'Расчет номинала'!R4</f>
        <v>Организация 9</v>
      </c>
      <c r="B100" s="143" t="s">
        <v>90</v>
      </c>
      <c r="C100" s="144"/>
      <c r="D100" s="70">
        <f>'Расчет номинала'!R$16</f>
        <v>0</v>
      </c>
      <c r="E100" s="145" t="s">
        <v>80</v>
      </c>
      <c r="F100" s="145"/>
      <c r="G100" s="70">
        <f>IF(D110=0,F108+H108+E109,F108+H108+D110+G110)</f>
        <v>0</v>
      </c>
    </row>
    <row r="101" spans="1:8" ht="78.75" hidden="1">
      <c r="A101" s="59" t="s">
        <v>26</v>
      </c>
      <c r="B101" s="59" t="s">
        <v>48</v>
      </c>
      <c r="C101" s="59" t="s">
        <v>51</v>
      </c>
      <c r="D101" s="60" t="s">
        <v>72</v>
      </c>
      <c r="E101" s="60" t="s">
        <v>73</v>
      </c>
      <c r="F101" s="96" t="s">
        <v>74</v>
      </c>
      <c r="G101" s="96" t="s">
        <v>75</v>
      </c>
      <c r="H101" s="60" t="s">
        <v>76</v>
      </c>
    </row>
    <row r="102" spans="1:8" hidden="1">
      <c r="A102" s="61" t="s">
        <v>9</v>
      </c>
      <c r="B102" s="68">
        <f>'Расчет номинала'!R$9</f>
        <v>0</v>
      </c>
      <c r="C102" s="68">
        <f>'Расчет нормативных затрат'!F$7</f>
        <v>109.21</v>
      </c>
      <c r="D102" s="69"/>
      <c r="E102" s="69"/>
      <c r="F102" s="70">
        <f t="shared" ref="F102:F107" si="14">(D102+E102)*B102</f>
        <v>0</v>
      </c>
      <c r="G102" s="69"/>
      <c r="H102" s="93">
        <f t="shared" ref="H102:H107" si="15">IF(B102&lt;C102,B102*G102,C102*G102)</f>
        <v>0</v>
      </c>
    </row>
    <row r="103" spans="1:8" hidden="1">
      <c r="A103" s="61" t="s">
        <v>10</v>
      </c>
      <c r="B103" s="68">
        <f>'Расчет номинала'!R10</f>
        <v>0</v>
      </c>
      <c r="C103" s="68">
        <f>'Расчет нормативных затрат'!G$7</f>
        <v>106.98</v>
      </c>
      <c r="D103" s="69"/>
      <c r="E103" s="69"/>
      <c r="F103" s="70">
        <f t="shared" si="14"/>
        <v>0</v>
      </c>
      <c r="G103" s="69"/>
      <c r="H103" s="93">
        <f t="shared" si="15"/>
        <v>0</v>
      </c>
    </row>
    <row r="104" spans="1:8" hidden="1">
      <c r="A104" s="61" t="s">
        <v>11</v>
      </c>
      <c r="B104" s="68">
        <f>'Расчет номинала'!R11</f>
        <v>0</v>
      </c>
      <c r="C104" s="68">
        <f>'Расчет нормативных затрат'!H$7</f>
        <v>119.25</v>
      </c>
      <c r="D104" s="69"/>
      <c r="E104" s="69"/>
      <c r="F104" s="70">
        <f t="shared" si="14"/>
        <v>0</v>
      </c>
      <c r="G104" s="69"/>
      <c r="H104" s="93">
        <f t="shared" si="15"/>
        <v>0</v>
      </c>
    </row>
    <row r="105" spans="1:8" hidden="1">
      <c r="A105" s="61" t="s">
        <v>12</v>
      </c>
      <c r="B105" s="68">
        <f>'Расчет номинала'!R12</f>
        <v>0</v>
      </c>
      <c r="C105" s="68">
        <f>'Расчет нормативных затрат'!I$7</f>
        <v>106.98</v>
      </c>
      <c r="D105" s="69"/>
      <c r="E105" s="69"/>
      <c r="F105" s="70">
        <f t="shared" si="14"/>
        <v>0</v>
      </c>
      <c r="G105" s="69"/>
      <c r="H105" s="93">
        <f t="shared" si="15"/>
        <v>0</v>
      </c>
    </row>
    <row r="106" spans="1:8" hidden="1">
      <c r="A106" s="61" t="s">
        <v>13</v>
      </c>
      <c r="B106" s="68">
        <f>'Расчет номинала'!R13</f>
        <v>0</v>
      </c>
      <c r="C106" s="68">
        <f>'Расчет нормативных затрат'!J$7</f>
        <v>118.25</v>
      </c>
      <c r="D106" s="69"/>
      <c r="E106" s="69"/>
      <c r="F106" s="70">
        <f t="shared" si="14"/>
        <v>0</v>
      </c>
      <c r="G106" s="69"/>
      <c r="H106" s="93">
        <f t="shared" si="15"/>
        <v>0</v>
      </c>
    </row>
    <row r="107" spans="1:8" hidden="1">
      <c r="A107" s="1" t="s">
        <v>59</v>
      </c>
      <c r="B107" s="68">
        <f>'Расчет номинала'!R14</f>
        <v>0</v>
      </c>
      <c r="C107" s="68">
        <f>'Расчет нормативных затрат'!K$7</f>
        <v>112.6</v>
      </c>
      <c r="D107" s="69"/>
      <c r="E107" s="69"/>
      <c r="F107" s="70">
        <f t="shared" si="14"/>
        <v>0</v>
      </c>
      <c r="G107" s="69"/>
      <c r="H107" s="93">
        <f t="shared" si="15"/>
        <v>0</v>
      </c>
    </row>
    <row r="108" spans="1:8" hidden="1">
      <c r="A108" s="62" t="s">
        <v>49</v>
      </c>
      <c r="B108" s="63" t="s">
        <v>45</v>
      </c>
      <c r="C108" s="63" t="s">
        <v>45</v>
      </c>
      <c r="D108" s="71">
        <f>SUM(D102:D107)</f>
        <v>0</v>
      </c>
      <c r="E108" s="71">
        <f>SUM(E102:E107)</f>
        <v>0</v>
      </c>
      <c r="F108" s="72">
        <f>SUM(F102:F107)</f>
        <v>0</v>
      </c>
      <c r="G108" s="71">
        <f>SUM(G102:G107)</f>
        <v>0</v>
      </c>
      <c r="H108" s="94">
        <f>SUM(H102:H107)</f>
        <v>0</v>
      </c>
    </row>
    <row r="109" spans="1:8" ht="47.25" hidden="1">
      <c r="A109" s="97" t="s">
        <v>83</v>
      </c>
      <c r="B109" s="147" t="s">
        <v>84</v>
      </c>
      <c r="C109" s="148"/>
      <c r="D109" s="149"/>
      <c r="E109" s="103"/>
      <c r="F109" s="98" t="s">
        <v>45</v>
      </c>
      <c r="G109" s="98" t="s">
        <v>45</v>
      </c>
      <c r="H109" s="59" t="s">
        <v>81</v>
      </c>
    </row>
    <row r="110" spans="1:8" hidden="1">
      <c r="A110" s="97" t="s">
        <v>77</v>
      </c>
      <c r="B110" s="146" t="s">
        <v>82</v>
      </c>
      <c r="C110" s="146"/>
      <c r="D110" s="102"/>
      <c r="E110" s="139" t="s">
        <v>78</v>
      </c>
      <c r="F110" s="140"/>
      <c r="G110" s="102"/>
      <c r="H110" s="99">
        <f>G100-D100</f>
        <v>0</v>
      </c>
    </row>
    <row r="111" spans="1:8" hidden="1"/>
    <row r="112" spans="1:8" ht="47.25" hidden="1" customHeight="1">
      <c r="A112" s="107" t="str">
        <f>'Расчет номинала'!T4</f>
        <v>Организация 10</v>
      </c>
      <c r="B112" s="143" t="s">
        <v>90</v>
      </c>
      <c r="C112" s="144"/>
      <c r="D112" s="70">
        <f>'Расчет номинала'!T$16</f>
        <v>0</v>
      </c>
      <c r="E112" s="145" t="s">
        <v>80</v>
      </c>
      <c r="F112" s="145"/>
      <c r="G112" s="70">
        <f>IF(D122=0,F120+H120+E121,F120+H120+D122+G122)</f>
        <v>0</v>
      </c>
    </row>
    <row r="113" spans="1:8" ht="78.75" hidden="1">
      <c r="A113" s="59" t="s">
        <v>26</v>
      </c>
      <c r="B113" s="59" t="s">
        <v>48</v>
      </c>
      <c r="C113" s="59" t="s">
        <v>51</v>
      </c>
      <c r="D113" s="60" t="s">
        <v>72</v>
      </c>
      <c r="E113" s="60" t="s">
        <v>73</v>
      </c>
      <c r="F113" s="96" t="s">
        <v>74</v>
      </c>
      <c r="G113" s="96" t="s">
        <v>75</v>
      </c>
      <c r="H113" s="60" t="s">
        <v>76</v>
      </c>
    </row>
    <row r="114" spans="1:8" hidden="1">
      <c r="A114" s="61" t="s">
        <v>9</v>
      </c>
      <c r="B114" s="68">
        <f>'Расчет номинала'!T$9</f>
        <v>0</v>
      </c>
      <c r="C114" s="68">
        <f>'Расчет нормативных затрат'!F$7</f>
        <v>109.21</v>
      </c>
      <c r="D114" s="69"/>
      <c r="E114" s="69"/>
      <c r="F114" s="70">
        <f t="shared" ref="F114:F119" si="16">(D114+E114)*B114</f>
        <v>0</v>
      </c>
      <c r="G114" s="69"/>
      <c r="H114" s="93">
        <f t="shared" ref="H114:H119" si="17">IF(B114&lt;C114,B114*G114,C114*G114)</f>
        <v>0</v>
      </c>
    </row>
    <row r="115" spans="1:8" hidden="1">
      <c r="A115" s="61" t="s">
        <v>10</v>
      </c>
      <c r="B115" s="68">
        <f>'Расчет номинала'!T10</f>
        <v>0</v>
      </c>
      <c r="C115" s="68">
        <f>'Расчет нормативных затрат'!G$7</f>
        <v>106.98</v>
      </c>
      <c r="D115" s="69"/>
      <c r="E115" s="69"/>
      <c r="F115" s="70">
        <f t="shared" si="16"/>
        <v>0</v>
      </c>
      <c r="G115" s="69"/>
      <c r="H115" s="93">
        <f t="shared" si="17"/>
        <v>0</v>
      </c>
    </row>
    <row r="116" spans="1:8" hidden="1">
      <c r="A116" s="61" t="s">
        <v>11</v>
      </c>
      <c r="B116" s="68">
        <f>'Расчет номинала'!T11</f>
        <v>0</v>
      </c>
      <c r="C116" s="68">
        <f>'Расчет нормативных затрат'!H$7</f>
        <v>119.25</v>
      </c>
      <c r="D116" s="69"/>
      <c r="E116" s="69"/>
      <c r="F116" s="70">
        <f t="shared" si="16"/>
        <v>0</v>
      </c>
      <c r="G116" s="69"/>
      <c r="H116" s="93">
        <f t="shared" si="17"/>
        <v>0</v>
      </c>
    </row>
    <row r="117" spans="1:8" hidden="1">
      <c r="A117" s="61" t="s">
        <v>12</v>
      </c>
      <c r="B117" s="68">
        <f>'Расчет номинала'!T12</f>
        <v>0</v>
      </c>
      <c r="C117" s="68">
        <f>'Расчет нормативных затрат'!I$7</f>
        <v>106.98</v>
      </c>
      <c r="D117" s="69"/>
      <c r="E117" s="69"/>
      <c r="F117" s="70">
        <f t="shared" si="16"/>
        <v>0</v>
      </c>
      <c r="G117" s="69"/>
      <c r="H117" s="93">
        <f t="shared" si="17"/>
        <v>0</v>
      </c>
    </row>
    <row r="118" spans="1:8" hidden="1">
      <c r="A118" s="61" t="s">
        <v>13</v>
      </c>
      <c r="B118" s="68">
        <f>'Расчет номинала'!T13</f>
        <v>0</v>
      </c>
      <c r="C118" s="68">
        <f>'Расчет нормативных затрат'!J$7</f>
        <v>118.25</v>
      </c>
      <c r="D118" s="69"/>
      <c r="E118" s="69"/>
      <c r="F118" s="70">
        <f t="shared" si="16"/>
        <v>0</v>
      </c>
      <c r="G118" s="69"/>
      <c r="H118" s="93">
        <f t="shared" si="17"/>
        <v>0</v>
      </c>
    </row>
    <row r="119" spans="1:8" hidden="1">
      <c r="A119" s="1" t="s">
        <v>59</v>
      </c>
      <c r="B119" s="68">
        <f>'Расчет номинала'!T14</f>
        <v>0</v>
      </c>
      <c r="C119" s="68">
        <f>'Расчет нормативных затрат'!K$7</f>
        <v>112.6</v>
      </c>
      <c r="D119" s="69"/>
      <c r="E119" s="69"/>
      <c r="F119" s="70">
        <f t="shared" si="16"/>
        <v>0</v>
      </c>
      <c r="G119" s="69"/>
      <c r="H119" s="93">
        <f t="shared" si="17"/>
        <v>0</v>
      </c>
    </row>
    <row r="120" spans="1:8" hidden="1">
      <c r="A120" s="62" t="s">
        <v>49</v>
      </c>
      <c r="B120" s="63" t="s">
        <v>45</v>
      </c>
      <c r="C120" s="63" t="s">
        <v>45</v>
      </c>
      <c r="D120" s="71">
        <f>SUM(D114:D119)</f>
        <v>0</v>
      </c>
      <c r="E120" s="71">
        <f>SUM(E114:E119)</f>
        <v>0</v>
      </c>
      <c r="F120" s="72">
        <f>SUM(F114:F119)</f>
        <v>0</v>
      </c>
      <c r="G120" s="71">
        <f>SUM(G114:G119)</f>
        <v>0</v>
      </c>
      <c r="H120" s="94">
        <f>SUM(H114:H119)</f>
        <v>0</v>
      </c>
    </row>
    <row r="121" spans="1:8" ht="47.25" hidden="1">
      <c r="A121" s="97" t="s">
        <v>83</v>
      </c>
      <c r="B121" s="147" t="s">
        <v>84</v>
      </c>
      <c r="C121" s="148"/>
      <c r="D121" s="149"/>
      <c r="E121" s="103"/>
      <c r="F121" s="98" t="s">
        <v>45</v>
      </c>
      <c r="G121" s="98" t="s">
        <v>45</v>
      </c>
      <c r="H121" s="59" t="s">
        <v>81</v>
      </c>
    </row>
    <row r="122" spans="1:8" hidden="1">
      <c r="A122" s="97" t="s">
        <v>77</v>
      </c>
      <c r="B122" s="146" t="s">
        <v>82</v>
      </c>
      <c r="C122" s="146"/>
      <c r="D122" s="102"/>
      <c r="E122" s="139" t="s">
        <v>78</v>
      </c>
      <c r="F122" s="140"/>
      <c r="G122" s="102"/>
      <c r="H122" s="99">
        <f>G112-D112</f>
        <v>0</v>
      </c>
    </row>
    <row r="123" spans="1:8" hidden="1"/>
    <row r="124" spans="1:8" ht="48" hidden="1" customHeight="1">
      <c r="A124" s="107" t="str">
        <f>'Расчет номинала'!V4</f>
        <v>Организация 11</v>
      </c>
      <c r="B124" s="143" t="s">
        <v>90</v>
      </c>
      <c r="C124" s="144"/>
      <c r="D124" s="70">
        <f>'Расчет номинала'!V$16</f>
        <v>0</v>
      </c>
      <c r="E124" s="145" t="s">
        <v>80</v>
      </c>
      <c r="F124" s="145"/>
      <c r="G124" s="70">
        <f>IF(D134=0,F132+H132+E133,F132+H132+D134+G134)</f>
        <v>0</v>
      </c>
    </row>
    <row r="125" spans="1:8" ht="78.75" hidden="1">
      <c r="A125" s="59" t="s">
        <v>26</v>
      </c>
      <c r="B125" s="59" t="s">
        <v>48</v>
      </c>
      <c r="C125" s="59" t="s">
        <v>51</v>
      </c>
      <c r="D125" s="60" t="s">
        <v>72</v>
      </c>
      <c r="E125" s="60" t="s">
        <v>73</v>
      </c>
      <c r="F125" s="96" t="s">
        <v>74</v>
      </c>
      <c r="G125" s="96" t="s">
        <v>75</v>
      </c>
      <c r="H125" s="60" t="s">
        <v>76</v>
      </c>
    </row>
    <row r="126" spans="1:8" hidden="1">
      <c r="A126" s="61" t="s">
        <v>9</v>
      </c>
      <c r="B126" s="68">
        <f>'Расчет номинала'!V$9</f>
        <v>0</v>
      </c>
      <c r="C126" s="68">
        <f>'Расчет нормативных затрат'!F$7</f>
        <v>109.21</v>
      </c>
      <c r="D126" s="69"/>
      <c r="E126" s="69"/>
      <c r="F126" s="70">
        <f t="shared" ref="F126:F131" si="18">(D126+E126)*B126</f>
        <v>0</v>
      </c>
      <c r="G126" s="69"/>
      <c r="H126" s="93">
        <f t="shared" ref="H126:H131" si="19">IF(B126&lt;C126,B126*G126,C126*G126)</f>
        <v>0</v>
      </c>
    </row>
    <row r="127" spans="1:8" hidden="1">
      <c r="A127" s="61" t="s">
        <v>10</v>
      </c>
      <c r="B127" s="68">
        <f>'Расчет номинала'!V10</f>
        <v>0</v>
      </c>
      <c r="C127" s="68">
        <f>'Расчет нормативных затрат'!G$7</f>
        <v>106.98</v>
      </c>
      <c r="D127" s="69"/>
      <c r="E127" s="69"/>
      <c r="F127" s="70">
        <f t="shared" si="18"/>
        <v>0</v>
      </c>
      <c r="G127" s="69"/>
      <c r="H127" s="93">
        <f t="shared" si="19"/>
        <v>0</v>
      </c>
    </row>
    <row r="128" spans="1:8" hidden="1">
      <c r="A128" s="61" t="s">
        <v>11</v>
      </c>
      <c r="B128" s="68">
        <f>'Расчет номинала'!V11</f>
        <v>0</v>
      </c>
      <c r="C128" s="68">
        <f>'Расчет нормативных затрат'!H$7</f>
        <v>119.25</v>
      </c>
      <c r="D128" s="69"/>
      <c r="E128" s="69"/>
      <c r="F128" s="70">
        <f t="shared" si="18"/>
        <v>0</v>
      </c>
      <c r="G128" s="69"/>
      <c r="H128" s="93">
        <f t="shared" si="19"/>
        <v>0</v>
      </c>
    </row>
    <row r="129" spans="1:8" hidden="1">
      <c r="A129" s="61" t="s">
        <v>12</v>
      </c>
      <c r="B129" s="68">
        <f>'Расчет номинала'!V12</f>
        <v>0</v>
      </c>
      <c r="C129" s="68">
        <f>'Расчет нормативных затрат'!I$7</f>
        <v>106.98</v>
      </c>
      <c r="D129" s="69"/>
      <c r="E129" s="69"/>
      <c r="F129" s="70">
        <f t="shared" si="18"/>
        <v>0</v>
      </c>
      <c r="G129" s="69"/>
      <c r="H129" s="93">
        <f t="shared" si="19"/>
        <v>0</v>
      </c>
    </row>
    <row r="130" spans="1:8" hidden="1">
      <c r="A130" s="61" t="s">
        <v>13</v>
      </c>
      <c r="B130" s="68">
        <f>'Расчет номинала'!V13</f>
        <v>0</v>
      </c>
      <c r="C130" s="68">
        <f>'Расчет нормативных затрат'!J$7</f>
        <v>118.25</v>
      </c>
      <c r="D130" s="69"/>
      <c r="E130" s="69"/>
      <c r="F130" s="70">
        <f t="shared" si="18"/>
        <v>0</v>
      </c>
      <c r="G130" s="69"/>
      <c r="H130" s="93">
        <f t="shared" si="19"/>
        <v>0</v>
      </c>
    </row>
    <row r="131" spans="1:8" hidden="1">
      <c r="A131" s="1" t="s">
        <v>59</v>
      </c>
      <c r="B131" s="68">
        <f>'Расчет номинала'!V14</f>
        <v>0</v>
      </c>
      <c r="C131" s="68">
        <f>'Расчет нормативных затрат'!K$7</f>
        <v>112.6</v>
      </c>
      <c r="D131" s="69"/>
      <c r="E131" s="69"/>
      <c r="F131" s="70">
        <f t="shared" si="18"/>
        <v>0</v>
      </c>
      <c r="G131" s="69"/>
      <c r="H131" s="93">
        <f t="shared" si="19"/>
        <v>0</v>
      </c>
    </row>
    <row r="132" spans="1:8" hidden="1">
      <c r="A132" s="62" t="s">
        <v>49</v>
      </c>
      <c r="B132" s="63" t="s">
        <v>45</v>
      </c>
      <c r="C132" s="63" t="s">
        <v>45</v>
      </c>
      <c r="D132" s="71">
        <f>SUM(D126:D131)</f>
        <v>0</v>
      </c>
      <c r="E132" s="71">
        <f>SUM(E126:E131)</f>
        <v>0</v>
      </c>
      <c r="F132" s="72">
        <f>SUM(F126:F131)</f>
        <v>0</v>
      </c>
      <c r="G132" s="71">
        <f>SUM(G126:G131)</f>
        <v>0</v>
      </c>
      <c r="H132" s="94">
        <f>SUM(H126:H131)</f>
        <v>0</v>
      </c>
    </row>
    <row r="133" spans="1:8" ht="47.25" hidden="1">
      <c r="A133" s="97" t="s">
        <v>83</v>
      </c>
      <c r="B133" s="147" t="s">
        <v>84</v>
      </c>
      <c r="C133" s="148"/>
      <c r="D133" s="149"/>
      <c r="E133" s="103"/>
      <c r="F133" s="98" t="s">
        <v>45</v>
      </c>
      <c r="G133" s="98" t="s">
        <v>45</v>
      </c>
      <c r="H133" s="59" t="s">
        <v>81</v>
      </c>
    </row>
    <row r="134" spans="1:8" hidden="1">
      <c r="A134" s="97" t="s">
        <v>77</v>
      </c>
      <c r="B134" s="146" t="s">
        <v>82</v>
      </c>
      <c r="C134" s="146"/>
      <c r="D134" s="102"/>
      <c r="E134" s="139" t="s">
        <v>78</v>
      </c>
      <c r="F134" s="140"/>
      <c r="G134" s="102"/>
      <c r="H134" s="99">
        <f>G124-D124</f>
        <v>0</v>
      </c>
    </row>
    <row r="135" spans="1:8" hidden="1"/>
    <row r="136" spans="1:8" ht="45.75" hidden="1" customHeight="1">
      <c r="A136" s="107" t="str">
        <f>'Расчет номинала'!X4</f>
        <v>Организация 12</v>
      </c>
      <c r="B136" s="143" t="s">
        <v>90</v>
      </c>
      <c r="C136" s="144"/>
      <c r="D136" s="70">
        <f>'Расчет номинала'!X$16</f>
        <v>0</v>
      </c>
      <c r="E136" s="145" t="s">
        <v>80</v>
      </c>
      <c r="F136" s="145"/>
      <c r="G136" s="70">
        <f>IF(D146=0,F144+H144+E145,F144+H144+D146+G146)</f>
        <v>0</v>
      </c>
    </row>
    <row r="137" spans="1:8" ht="78.75" hidden="1">
      <c r="A137" s="59" t="s">
        <v>26</v>
      </c>
      <c r="B137" s="59" t="s">
        <v>48</v>
      </c>
      <c r="C137" s="59" t="s">
        <v>51</v>
      </c>
      <c r="D137" s="60" t="s">
        <v>72</v>
      </c>
      <c r="E137" s="60" t="s">
        <v>73</v>
      </c>
      <c r="F137" s="96" t="s">
        <v>74</v>
      </c>
      <c r="G137" s="96" t="s">
        <v>75</v>
      </c>
      <c r="H137" s="60" t="s">
        <v>76</v>
      </c>
    </row>
    <row r="138" spans="1:8" hidden="1">
      <c r="A138" s="61" t="s">
        <v>9</v>
      </c>
      <c r="B138" s="68">
        <f>'Расчет номинала'!X$9</f>
        <v>0</v>
      </c>
      <c r="C138" s="68">
        <f>'Расчет нормативных затрат'!F$7</f>
        <v>109.21</v>
      </c>
      <c r="D138" s="69"/>
      <c r="E138" s="69"/>
      <c r="F138" s="70">
        <f t="shared" ref="F138:F143" si="20">(D138+E138)*B138</f>
        <v>0</v>
      </c>
      <c r="G138" s="69"/>
      <c r="H138" s="93">
        <f t="shared" ref="H138:H143" si="21">IF(B138&lt;C138,B138*G138,C138*G138)</f>
        <v>0</v>
      </c>
    </row>
    <row r="139" spans="1:8" hidden="1">
      <c r="A139" s="61" t="s">
        <v>10</v>
      </c>
      <c r="B139" s="68">
        <f>'Расчет номинала'!X10</f>
        <v>0</v>
      </c>
      <c r="C139" s="68">
        <f>'Расчет нормативных затрат'!G$7</f>
        <v>106.98</v>
      </c>
      <c r="D139" s="69"/>
      <c r="E139" s="69"/>
      <c r="F139" s="70">
        <f t="shared" si="20"/>
        <v>0</v>
      </c>
      <c r="G139" s="69"/>
      <c r="H139" s="93">
        <f t="shared" si="21"/>
        <v>0</v>
      </c>
    </row>
    <row r="140" spans="1:8" hidden="1">
      <c r="A140" s="61" t="s">
        <v>11</v>
      </c>
      <c r="B140" s="68">
        <f>'Расчет номинала'!X11</f>
        <v>0</v>
      </c>
      <c r="C140" s="68">
        <f>'Расчет нормативных затрат'!H$7</f>
        <v>119.25</v>
      </c>
      <c r="D140" s="69"/>
      <c r="E140" s="69"/>
      <c r="F140" s="70">
        <f t="shared" si="20"/>
        <v>0</v>
      </c>
      <c r="G140" s="69"/>
      <c r="H140" s="93">
        <f t="shared" si="21"/>
        <v>0</v>
      </c>
    </row>
    <row r="141" spans="1:8" hidden="1">
      <c r="A141" s="61" t="s">
        <v>12</v>
      </c>
      <c r="B141" s="68">
        <f>'Расчет номинала'!X12</f>
        <v>0</v>
      </c>
      <c r="C141" s="68">
        <f>'Расчет нормативных затрат'!I$7</f>
        <v>106.98</v>
      </c>
      <c r="D141" s="69"/>
      <c r="E141" s="69"/>
      <c r="F141" s="70">
        <f t="shared" si="20"/>
        <v>0</v>
      </c>
      <c r="G141" s="69"/>
      <c r="H141" s="93">
        <f t="shared" si="21"/>
        <v>0</v>
      </c>
    </row>
    <row r="142" spans="1:8" hidden="1">
      <c r="A142" s="61" t="s">
        <v>13</v>
      </c>
      <c r="B142" s="68">
        <f>'Расчет номинала'!X13</f>
        <v>0</v>
      </c>
      <c r="C142" s="68">
        <f>'Расчет нормативных затрат'!J$7</f>
        <v>118.25</v>
      </c>
      <c r="D142" s="69"/>
      <c r="E142" s="69"/>
      <c r="F142" s="70">
        <f t="shared" si="20"/>
        <v>0</v>
      </c>
      <c r="G142" s="69"/>
      <c r="H142" s="93">
        <f t="shared" si="21"/>
        <v>0</v>
      </c>
    </row>
    <row r="143" spans="1:8" hidden="1">
      <c r="A143" s="1" t="s">
        <v>59</v>
      </c>
      <c r="B143" s="68">
        <f>'Расчет номинала'!X14</f>
        <v>0</v>
      </c>
      <c r="C143" s="68">
        <f>'Расчет нормативных затрат'!K$7</f>
        <v>112.6</v>
      </c>
      <c r="D143" s="69"/>
      <c r="E143" s="69"/>
      <c r="F143" s="70">
        <f t="shared" si="20"/>
        <v>0</v>
      </c>
      <c r="G143" s="69"/>
      <c r="H143" s="93">
        <f t="shared" si="21"/>
        <v>0</v>
      </c>
    </row>
    <row r="144" spans="1:8" hidden="1">
      <c r="A144" s="62" t="s">
        <v>49</v>
      </c>
      <c r="B144" s="63" t="s">
        <v>45</v>
      </c>
      <c r="C144" s="63" t="s">
        <v>45</v>
      </c>
      <c r="D144" s="71">
        <f>SUM(D138:D143)</f>
        <v>0</v>
      </c>
      <c r="E144" s="71">
        <f>SUM(E138:E143)</f>
        <v>0</v>
      </c>
      <c r="F144" s="72">
        <f>SUM(F138:F143)</f>
        <v>0</v>
      </c>
      <c r="G144" s="71">
        <f>SUM(G138:G143)</f>
        <v>0</v>
      </c>
      <c r="H144" s="94">
        <f>SUM(H138:H143)</f>
        <v>0</v>
      </c>
    </row>
    <row r="145" spans="1:8" ht="47.25" hidden="1">
      <c r="A145" s="97" t="s">
        <v>83</v>
      </c>
      <c r="B145" s="147" t="s">
        <v>84</v>
      </c>
      <c r="C145" s="148"/>
      <c r="D145" s="149"/>
      <c r="E145" s="103"/>
      <c r="F145" s="98" t="s">
        <v>45</v>
      </c>
      <c r="G145" s="98" t="s">
        <v>45</v>
      </c>
      <c r="H145" s="59" t="s">
        <v>81</v>
      </c>
    </row>
    <row r="146" spans="1:8" hidden="1">
      <c r="A146" s="97" t="s">
        <v>77</v>
      </c>
      <c r="B146" s="146" t="s">
        <v>82</v>
      </c>
      <c r="C146" s="146"/>
      <c r="D146" s="102"/>
      <c r="E146" s="139" t="s">
        <v>78</v>
      </c>
      <c r="F146" s="140"/>
      <c r="G146" s="102"/>
      <c r="H146" s="99">
        <f>G136-D136</f>
        <v>0</v>
      </c>
    </row>
    <row r="147" spans="1:8" hidden="1"/>
    <row r="148" spans="1:8" ht="45.75" hidden="1" customHeight="1">
      <c r="A148" s="107" t="str">
        <f>'Расчет номинала'!Z4</f>
        <v>Организация 13</v>
      </c>
      <c r="B148" s="143" t="s">
        <v>90</v>
      </c>
      <c r="C148" s="144"/>
      <c r="D148" s="70">
        <f>'Расчет номинала'!Z$16</f>
        <v>0</v>
      </c>
      <c r="E148" s="145" t="s">
        <v>80</v>
      </c>
      <c r="F148" s="145"/>
      <c r="G148" s="70">
        <f>IF(D158=0,F156+H156+E157,F156+H156+D158+G158)</f>
        <v>0</v>
      </c>
    </row>
    <row r="149" spans="1:8" ht="78.75" hidden="1">
      <c r="A149" s="59" t="s">
        <v>26</v>
      </c>
      <c r="B149" s="59" t="s">
        <v>48</v>
      </c>
      <c r="C149" s="59" t="s">
        <v>51</v>
      </c>
      <c r="D149" s="60" t="s">
        <v>72</v>
      </c>
      <c r="E149" s="60" t="s">
        <v>73</v>
      </c>
      <c r="F149" s="96" t="s">
        <v>74</v>
      </c>
      <c r="G149" s="96" t="s">
        <v>75</v>
      </c>
      <c r="H149" s="60" t="s">
        <v>76</v>
      </c>
    </row>
    <row r="150" spans="1:8" hidden="1">
      <c r="A150" s="61" t="s">
        <v>9</v>
      </c>
      <c r="B150" s="68">
        <f>'Расчет номинала'!Z$9</f>
        <v>0</v>
      </c>
      <c r="C150" s="68">
        <f>'Расчет нормативных затрат'!F$7</f>
        <v>109.21</v>
      </c>
      <c r="D150" s="69"/>
      <c r="E150" s="69"/>
      <c r="F150" s="70">
        <f t="shared" ref="F150:F155" si="22">(D150+E150)*B150</f>
        <v>0</v>
      </c>
      <c r="G150" s="69"/>
      <c r="H150" s="93">
        <f t="shared" ref="H150:H155" si="23">IF(B150&lt;C150,B150*G150,C150*G150)</f>
        <v>0</v>
      </c>
    </row>
    <row r="151" spans="1:8" hidden="1">
      <c r="A151" s="61" t="s">
        <v>10</v>
      </c>
      <c r="B151" s="68">
        <f>'Расчет номинала'!Z10</f>
        <v>0</v>
      </c>
      <c r="C151" s="68">
        <f>'Расчет нормативных затрат'!G$7</f>
        <v>106.98</v>
      </c>
      <c r="D151" s="69"/>
      <c r="E151" s="69"/>
      <c r="F151" s="70">
        <f t="shared" si="22"/>
        <v>0</v>
      </c>
      <c r="G151" s="69"/>
      <c r="H151" s="93">
        <f t="shared" si="23"/>
        <v>0</v>
      </c>
    </row>
    <row r="152" spans="1:8" hidden="1">
      <c r="A152" s="61" t="s">
        <v>11</v>
      </c>
      <c r="B152" s="68">
        <f>'Расчет номинала'!Z11</f>
        <v>0</v>
      </c>
      <c r="C152" s="68">
        <f>'Расчет нормативных затрат'!H$7</f>
        <v>119.25</v>
      </c>
      <c r="D152" s="69"/>
      <c r="E152" s="69"/>
      <c r="F152" s="70">
        <f t="shared" si="22"/>
        <v>0</v>
      </c>
      <c r="G152" s="69"/>
      <c r="H152" s="93">
        <f t="shared" si="23"/>
        <v>0</v>
      </c>
    </row>
    <row r="153" spans="1:8" hidden="1">
      <c r="A153" s="61" t="s">
        <v>12</v>
      </c>
      <c r="B153" s="68">
        <f>'Расчет номинала'!Z12</f>
        <v>0</v>
      </c>
      <c r="C153" s="68">
        <f>'Расчет нормативных затрат'!I$7</f>
        <v>106.98</v>
      </c>
      <c r="D153" s="69"/>
      <c r="E153" s="69"/>
      <c r="F153" s="70">
        <f t="shared" si="22"/>
        <v>0</v>
      </c>
      <c r="G153" s="69"/>
      <c r="H153" s="93">
        <f t="shared" si="23"/>
        <v>0</v>
      </c>
    </row>
    <row r="154" spans="1:8" hidden="1">
      <c r="A154" s="61" t="s">
        <v>13</v>
      </c>
      <c r="B154" s="68">
        <f>'Расчет номинала'!Z13</f>
        <v>0</v>
      </c>
      <c r="C154" s="68">
        <f>'Расчет нормативных затрат'!J$7</f>
        <v>118.25</v>
      </c>
      <c r="D154" s="69"/>
      <c r="E154" s="69"/>
      <c r="F154" s="70">
        <f t="shared" si="22"/>
        <v>0</v>
      </c>
      <c r="G154" s="69"/>
      <c r="H154" s="93">
        <f t="shared" si="23"/>
        <v>0</v>
      </c>
    </row>
    <row r="155" spans="1:8" hidden="1">
      <c r="A155" s="1" t="s">
        <v>59</v>
      </c>
      <c r="B155" s="68">
        <f>'Расчет номинала'!Z14</f>
        <v>0</v>
      </c>
      <c r="C155" s="68">
        <f>'Расчет нормативных затрат'!K$7</f>
        <v>112.6</v>
      </c>
      <c r="D155" s="69"/>
      <c r="E155" s="69"/>
      <c r="F155" s="70">
        <f t="shared" si="22"/>
        <v>0</v>
      </c>
      <c r="G155" s="69"/>
      <c r="H155" s="93">
        <f t="shared" si="23"/>
        <v>0</v>
      </c>
    </row>
    <row r="156" spans="1:8" hidden="1">
      <c r="A156" s="62" t="s">
        <v>49</v>
      </c>
      <c r="B156" s="63" t="s">
        <v>45</v>
      </c>
      <c r="C156" s="63" t="s">
        <v>45</v>
      </c>
      <c r="D156" s="71">
        <f>SUM(D150:D155)</f>
        <v>0</v>
      </c>
      <c r="E156" s="71">
        <f>SUM(E150:E155)</f>
        <v>0</v>
      </c>
      <c r="F156" s="72">
        <f>SUM(F150:F155)</f>
        <v>0</v>
      </c>
      <c r="G156" s="71">
        <f>SUM(G150:G155)</f>
        <v>0</v>
      </c>
      <c r="H156" s="94">
        <f>SUM(H150:H155)</f>
        <v>0</v>
      </c>
    </row>
    <row r="157" spans="1:8" ht="47.25" hidden="1">
      <c r="A157" s="97" t="s">
        <v>83</v>
      </c>
      <c r="B157" s="147" t="s">
        <v>84</v>
      </c>
      <c r="C157" s="148"/>
      <c r="D157" s="149"/>
      <c r="E157" s="103"/>
      <c r="F157" s="98" t="s">
        <v>45</v>
      </c>
      <c r="G157" s="98" t="s">
        <v>45</v>
      </c>
      <c r="H157" s="59" t="s">
        <v>81</v>
      </c>
    </row>
    <row r="158" spans="1:8" hidden="1">
      <c r="A158" s="97" t="s">
        <v>77</v>
      </c>
      <c r="B158" s="146" t="s">
        <v>82</v>
      </c>
      <c r="C158" s="146"/>
      <c r="D158" s="102"/>
      <c r="E158" s="139" t="s">
        <v>78</v>
      </c>
      <c r="F158" s="140"/>
      <c r="G158" s="102"/>
      <c r="H158" s="99">
        <f>G148-D148</f>
        <v>0</v>
      </c>
    </row>
    <row r="159" spans="1:8" hidden="1"/>
    <row r="160" spans="1:8" ht="47.25" hidden="1" customHeight="1">
      <c r="A160" s="107" t="str">
        <f>'Расчет номинала'!AB4</f>
        <v>Организация 14</v>
      </c>
      <c r="B160" s="143" t="s">
        <v>90</v>
      </c>
      <c r="C160" s="144"/>
      <c r="D160" s="70">
        <f>'Расчет номинала'!AB$16</f>
        <v>0</v>
      </c>
      <c r="E160" s="145" t="s">
        <v>80</v>
      </c>
      <c r="F160" s="145"/>
      <c r="G160" s="70">
        <f>IF(D170=0,F168+H168+E169,F168+H168+D170+G170)</f>
        <v>0</v>
      </c>
    </row>
    <row r="161" spans="1:8" ht="78.75" hidden="1">
      <c r="A161" s="59" t="s">
        <v>26</v>
      </c>
      <c r="B161" s="59" t="s">
        <v>48</v>
      </c>
      <c r="C161" s="59" t="s">
        <v>51</v>
      </c>
      <c r="D161" s="60" t="s">
        <v>72</v>
      </c>
      <c r="E161" s="60" t="s">
        <v>73</v>
      </c>
      <c r="F161" s="96" t="s">
        <v>74</v>
      </c>
      <c r="G161" s="96" t="s">
        <v>75</v>
      </c>
      <c r="H161" s="60" t="s">
        <v>76</v>
      </c>
    </row>
    <row r="162" spans="1:8" hidden="1">
      <c r="A162" s="61" t="s">
        <v>9</v>
      </c>
      <c r="B162" s="68">
        <f>'Расчет номинала'!AB$9</f>
        <v>0</v>
      </c>
      <c r="C162" s="68">
        <f>'Расчет нормативных затрат'!F$7</f>
        <v>109.21</v>
      </c>
      <c r="D162" s="69"/>
      <c r="E162" s="69"/>
      <c r="F162" s="70">
        <f t="shared" ref="F162:F167" si="24">(D162+E162)*B162</f>
        <v>0</v>
      </c>
      <c r="G162" s="69"/>
      <c r="H162" s="93">
        <f t="shared" ref="H162:H167" si="25">IF(B162&lt;C162,B162*G162,C162*G162)</f>
        <v>0</v>
      </c>
    </row>
    <row r="163" spans="1:8" hidden="1">
      <c r="A163" s="61" t="s">
        <v>10</v>
      </c>
      <c r="B163" s="68">
        <f>'Расчет номинала'!AB10</f>
        <v>0</v>
      </c>
      <c r="C163" s="68">
        <f>'Расчет нормативных затрат'!G$7</f>
        <v>106.98</v>
      </c>
      <c r="D163" s="69"/>
      <c r="E163" s="69"/>
      <c r="F163" s="70">
        <f t="shared" si="24"/>
        <v>0</v>
      </c>
      <c r="G163" s="69"/>
      <c r="H163" s="93">
        <f t="shared" si="25"/>
        <v>0</v>
      </c>
    </row>
    <row r="164" spans="1:8" hidden="1">
      <c r="A164" s="61" t="s">
        <v>11</v>
      </c>
      <c r="B164" s="68">
        <f>'Расчет номинала'!AB11</f>
        <v>0</v>
      </c>
      <c r="C164" s="68">
        <f>'Расчет нормативных затрат'!H$7</f>
        <v>119.25</v>
      </c>
      <c r="D164" s="69"/>
      <c r="E164" s="69"/>
      <c r="F164" s="70">
        <f t="shared" si="24"/>
        <v>0</v>
      </c>
      <c r="G164" s="69"/>
      <c r="H164" s="93">
        <f t="shared" si="25"/>
        <v>0</v>
      </c>
    </row>
    <row r="165" spans="1:8" hidden="1">
      <c r="A165" s="61" t="s">
        <v>12</v>
      </c>
      <c r="B165" s="68">
        <f>'Расчет номинала'!AB12</f>
        <v>0</v>
      </c>
      <c r="C165" s="68">
        <f>'Расчет нормативных затрат'!I$7</f>
        <v>106.98</v>
      </c>
      <c r="D165" s="69"/>
      <c r="E165" s="69"/>
      <c r="F165" s="70">
        <f t="shared" si="24"/>
        <v>0</v>
      </c>
      <c r="G165" s="69"/>
      <c r="H165" s="93">
        <f t="shared" si="25"/>
        <v>0</v>
      </c>
    </row>
    <row r="166" spans="1:8" hidden="1">
      <c r="A166" s="61" t="s">
        <v>13</v>
      </c>
      <c r="B166" s="68">
        <f>'Расчет номинала'!AB13</f>
        <v>0</v>
      </c>
      <c r="C166" s="68">
        <f>'Расчет нормативных затрат'!J$7</f>
        <v>118.25</v>
      </c>
      <c r="D166" s="69"/>
      <c r="E166" s="69"/>
      <c r="F166" s="70">
        <f t="shared" si="24"/>
        <v>0</v>
      </c>
      <c r="G166" s="69"/>
      <c r="H166" s="93">
        <f t="shared" si="25"/>
        <v>0</v>
      </c>
    </row>
    <row r="167" spans="1:8" hidden="1">
      <c r="A167" s="1" t="s">
        <v>59</v>
      </c>
      <c r="B167" s="68">
        <f>'Расчет номинала'!AB14</f>
        <v>0</v>
      </c>
      <c r="C167" s="68">
        <f>'Расчет нормативных затрат'!K$7</f>
        <v>112.6</v>
      </c>
      <c r="D167" s="69"/>
      <c r="E167" s="69"/>
      <c r="F167" s="70">
        <f t="shared" si="24"/>
        <v>0</v>
      </c>
      <c r="G167" s="69"/>
      <c r="H167" s="93">
        <f t="shared" si="25"/>
        <v>0</v>
      </c>
    </row>
    <row r="168" spans="1:8" hidden="1">
      <c r="A168" s="62" t="s">
        <v>49</v>
      </c>
      <c r="B168" s="63" t="s">
        <v>45</v>
      </c>
      <c r="C168" s="63" t="s">
        <v>45</v>
      </c>
      <c r="D168" s="71">
        <f>SUM(D162:D167)</f>
        <v>0</v>
      </c>
      <c r="E168" s="71">
        <f>SUM(E162:E167)</f>
        <v>0</v>
      </c>
      <c r="F168" s="72">
        <f>SUM(F162:F167)</f>
        <v>0</v>
      </c>
      <c r="G168" s="71">
        <f>SUM(G162:G167)</f>
        <v>0</v>
      </c>
      <c r="H168" s="94">
        <f>SUM(H162:H167)</f>
        <v>0</v>
      </c>
    </row>
    <row r="169" spans="1:8" ht="47.25" hidden="1">
      <c r="A169" s="97" t="s">
        <v>83</v>
      </c>
      <c r="B169" s="147" t="s">
        <v>84</v>
      </c>
      <c r="C169" s="148"/>
      <c r="D169" s="149"/>
      <c r="E169" s="103"/>
      <c r="F169" s="98" t="s">
        <v>45</v>
      </c>
      <c r="G169" s="98" t="s">
        <v>45</v>
      </c>
      <c r="H169" s="59" t="s">
        <v>81</v>
      </c>
    </row>
    <row r="170" spans="1:8" hidden="1">
      <c r="A170" s="97" t="s">
        <v>77</v>
      </c>
      <c r="B170" s="146" t="s">
        <v>82</v>
      </c>
      <c r="C170" s="146"/>
      <c r="D170" s="102"/>
      <c r="E170" s="139" t="s">
        <v>78</v>
      </c>
      <c r="F170" s="140"/>
      <c r="G170" s="102"/>
      <c r="H170" s="99">
        <f>G160-D160</f>
        <v>0</v>
      </c>
    </row>
    <row r="171" spans="1:8" hidden="1"/>
    <row r="172" spans="1:8" ht="48.75" hidden="1" customHeight="1">
      <c r="A172" s="107" t="str">
        <f>'Расчет номинала'!AD4</f>
        <v>Организация 15</v>
      </c>
      <c r="B172" s="143" t="s">
        <v>90</v>
      </c>
      <c r="C172" s="144"/>
      <c r="D172" s="70">
        <f>'Расчет номинала'!AD$16</f>
        <v>0</v>
      </c>
      <c r="E172" s="145" t="s">
        <v>80</v>
      </c>
      <c r="F172" s="145"/>
      <c r="G172" s="70">
        <f>IF(D182=0,F180+H180+E181,F180+H180+D182+G182)</f>
        <v>0</v>
      </c>
    </row>
    <row r="173" spans="1:8" ht="78.75" hidden="1">
      <c r="A173" s="59" t="s">
        <v>26</v>
      </c>
      <c r="B173" s="59" t="s">
        <v>48</v>
      </c>
      <c r="C173" s="59" t="s">
        <v>51</v>
      </c>
      <c r="D173" s="60" t="s">
        <v>72</v>
      </c>
      <c r="E173" s="60" t="s">
        <v>73</v>
      </c>
      <c r="F173" s="96" t="s">
        <v>74</v>
      </c>
      <c r="G173" s="96" t="s">
        <v>75</v>
      </c>
      <c r="H173" s="60" t="s">
        <v>76</v>
      </c>
    </row>
    <row r="174" spans="1:8" hidden="1">
      <c r="A174" s="61" t="s">
        <v>9</v>
      </c>
      <c r="B174" s="68">
        <f>'Расчет номинала'!AD$9</f>
        <v>0</v>
      </c>
      <c r="C174" s="68">
        <f>'Расчет нормативных затрат'!F$7</f>
        <v>109.21</v>
      </c>
      <c r="D174" s="69"/>
      <c r="E174" s="69"/>
      <c r="F174" s="70">
        <f t="shared" ref="F174:F179" si="26">(D174+E174)*B174</f>
        <v>0</v>
      </c>
      <c r="G174" s="69"/>
      <c r="H174" s="93">
        <f t="shared" ref="H174:H179" si="27">IF(B174&lt;C174,B174*G174,C174*G174)</f>
        <v>0</v>
      </c>
    </row>
    <row r="175" spans="1:8" hidden="1">
      <c r="A175" s="61" t="s">
        <v>10</v>
      </c>
      <c r="B175" s="68">
        <f>'Расчет номинала'!AD10</f>
        <v>0</v>
      </c>
      <c r="C175" s="68">
        <f>'Расчет нормативных затрат'!G$7</f>
        <v>106.98</v>
      </c>
      <c r="D175" s="69"/>
      <c r="E175" s="69"/>
      <c r="F175" s="70">
        <f t="shared" si="26"/>
        <v>0</v>
      </c>
      <c r="G175" s="69"/>
      <c r="H175" s="93">
        <f t="shared" si="27"/>
        <v>0</v>
      </c>
    </row>
    <row r="176" spans="1:8" hidden="1">
      <c r="A176" s="61" t="s">
        <v>11</v>
      </c>
      <c r="B176" s="68">
        <f>'Расчет номинала'!AD11</f>
        <v>0</v>
      </c>
      <c r="C176" s="68">
        <f>'Расчет нормативных затрат'!H$7</f>
        <v>119.25</v>
      </c>
      <c r="D176" s="69"/>
      <c r="E176" s="69"/>
      <c r="F176" s="70">
        <f t="shared" si="26"/>
        <v>0</v>
      </c>
      <c r="G176" s="69"/>
      <c r="H176" s="93">
        <f t="shared" si="27"/>
        <v>0</v>
      </c>
    </row>
    <row r="177" spans="1:8" hidden="1">
      <c r="A177" s="61" t="s">
        <v>12</v>
      </c>
      <c r="B177" s="68">
        <f>'Расчет номинала'!AD12</f>
        <v>0</v>
      </c>
      <c r="C177" s="68">
        <f>'Расчет нормативных затрат'!I$7</f>
        <v>106.98</v>
      </c>
      <c r="D177" s="69"/>
      <c r="E177" s="69"/>
      <c r="F177" s="70">
        <f t="shared" si="26"/>
        <v>0</v>
      </c>
      <c r="G177" s="69"/>
      <c r="H177" s="93">
        <f t="shared" si="27"/>
        <v>0</v>
      </c>
    </row>
    <row r="178" spans="1:8" hidden="1">
      <c r="A178" s="61" t="s">
        <v>13</v>
      </c>
      <c r="B178" s="68">
        <f>'Расчет номинала'!AD13</f>
        <v>0</v>
      </c>
      <c r="C178" s="68">
        <f>'Расчет нормативных затрат'!J$7</f>
        <v>118.25</v>
      </c>
      <c r="D178" s="69"/>
      <c r="E178" s="69"/>
      <c r="F178" s="70">
        <f t="shared" si="26"/>
        <v>0</v>
      </c>
      <c r="G178" s="69"/>
      <c r="H178" s="93">
        <f t="shared" si="27"/>
        <v>0</v>
      </c>
    </row>
    <row r="179" spans="1:8" hidden="1">
      <c r="A179" s="1" t="s">
        <v>59</v>
      </c>
      <c r="B179" s="68">
        <f>'Расчет номинала'!AD14</f>
        <v>0</v>
      </c>
      <c r="C179" s="68">
        <f>'Расчет нормативных затрат'!K$7</f>
        <v>112.6</v>
      </c>
      <c r="D179" s="69"/>
      <c r="E179" s="69"/>
      <c r="F179" s="70">
        <f t="shared" si="26"/>
        <v>0</v>
      </c>
      <c r="G179" s="69"/>
      <c r="H179" s="93">
        <f t="shared" si="27"/>
        <v>0</v>
      </c>
    </row>
    <row r="180" spans="1:8" hidden="1">
      <c r="A180" s="62" t="s">
        <v>49</v>
      </c>
      <c r="B180" s="63" t="s">
        <v>45</v>
      </c>
      <c r="C180" s="63" t="s">
        <v>45</v>
      </c>
      <c r="D180" s="71">
        <f>SUM(D174:D179)</f>
        <v>0</v>
      </c>
      <c r="E180" s="71">
        <f>SUM(E174:E179)</f>
        <v>0</v>
      </c>
      <c r="F180" s="72">
        <f>SUM(F174:F179)</f>
        <v>0</v>
      </c>
      <c r="G180" s="71">
        <f>SUM(G174:G179)</f>
        <v>0</v>
      </c>
      <c r="H180" s="94">
        <f>SUM(H174:H179)</f>
        <v>0</v>
      </c>
    </row>
    <row r="181" spans="1:8" ht="47.25" hidden="1">
      <c r="A181" s="97" t="s">
        <v>83</v>
      </c>
      <c r="B181" s="147" t="s">
        <v>84</v>
      </c>
      <c r="C181" s="148"/>
      <c r="D181" s="149"/>
      <c r="E181" s="103"/>
      <c r="F181" s="98" t="s">
        <v>45</v>
      </c>
      <c r="G181" s="98" t="s">
        <v>45</v>
      </c>
      <c r="H181" s="59" t="s">
        <v>81</v>
      </c>
    </row>
    <row r="182" spans="1:8" hidden="1">
      <c r="A182" s="97" t="s">
        <v>77</v>
      </c>
      <c r="B182" s="146" t="s">
        <v>82</v>
      </c>
      <c r="C182" s="146"/>
      <c r="D182" s="102"/>
      <c r="E182" s="139" t="s">
        <v>78</v>
      </c>
      <c r="F182" s="140"/>
      <c r="G182" s="102"/>
      <c r="H182" s="99">
        <f>G172-D172</f>
        <v>0</v>
      </c>
    </row>
  </sheetData>
  <mergeCells count="78">
    <mergeCell ref="B172:C172"/>
    <mergeCell ref="E172:F172"/>
    <mergeCell ref="B181:D181"/>
    <mergeCell ref="B182:C182"/>
    <mergeCell ref="E182:F182"/>
    <mergeCell ref="B160:C160"/>
    <mergeCell ref="E160:F160"/>
    <mergeCell ref="B169:D169"/>
    <mergeCell ref="B170:C170"/>
    <mergeCell ref="E170:F170"/>
    <mergeCell ref="B148:C148"/>
    <mergeCell ref="E148:F148"/>
    <mergeCell ref="B157:D157"/>
    <mergeCell ref="B158:C158"/>
    <mergeCell ref="E158:F158"/>
    <mergeCell ref="B136:C136"/>
    <mergeCell ref="E136:F136"/>
    <mergeCell ref="B145:D145"/>
    <mergeCell ref="B146:C146"/>
    <mergeCell ref="E146:F146"/>
    <mergeCell ref="B124:C124"/>
    <mergeCell ref="E124:F124"/>
    <mergeCell ref="B133:D133"/>
    <mergeCell ref="B134:C134"/>
    <mergeCell ref="E134:F134"/>
    <mergeCell ref="B112:C112"/>
    <mergeCell ref="E112:F112"/>
    <mergeCell ref="B121:D121"/>
    <mergeCell ref="B122:C122"/>
    <mergeCell ref="E122:F122"/>
    <mergeCell ref="B100:C100"/>
    <mergeCell ref="E100:F100"/>
    <mergeCell ref="B109:D109"/>
    <mergeCell ref="B110:C110"/>
    <mergeCell ref="E110:F110"/>
    <mergeCell ref="B88:C88"/>
    <mergeCell ref="E88:F88"/>
    <mergeCell ref="B97:D97"/>
    <mergeCell ref="B98:C98"/>
    <mergeCell ref="E98:F98"/>
    <mergeCell ref="B76:C76"/>
    <mergeCell ref="E76:F76"/>
    <mergeCell ref="B85:D85"/>
    <mergeCell ref="B86:C86"/>
    <mergeCell ref="E86:F86"/>
    <mergeCell ref="B64:C64"/>
    <mergeCell ref="E64:F64"/>
    <mergeCell ref="B73:D73"/>
    <mergeCell ref="B74:C74"/>
    <mergeCell ref="E74:F74"/>
    <mergeCell ref="B52:C52"/>
    <mergeCell ref="E52:F52"/>
    <mergeCell ref="B61:D61"/>
    <mergeCell ref="B62:C62"/>
    <mergeCell ref="E62:F62"/>
    <mergeCell ref="B40:C40"/>
    <mergeCell ref="E40:F40"/>
    <mergeCell ref="B49:D49"/>
    <mergeCell ref="B50:C50"/>
    <mergeCell ref="E50:F50"/>
    <mergeCell ref="B28:C28"/>
    <mergeCell ref="E28:F28"/>
    <mergeCell ref="B37:D37"/>
    <mergeCell ref="B38:C38"/>
    <mergeCell ref="E38:F38"/>
    <mergeCell ref="B16:C16"/>
    <mergeCell ref="E16:F16"/>
    <mergeCell ref="B25:D25"/>
    <mergeCell ref="B26:C26"/>
    <mergeCell ref="E26:F26"/>
    <mergeCell ref="E14:F14"/>
    <mergeCell ref="F1:G1"/>
    <mergeCell ref="F2:G2"/>
    <mergeCell ref="E4:F4"/>
    <mergeCell ref="B1:C1"/>
    <mergeCell ref="B4:C4"/>
    <mergeCell ref="B14:C14"/>
    <mergeCell ref="B13:D13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64" orientation="landscape" verticalDpi="0" r:id="rId1"/>
  <rowBreaks count="1" manualBreakCount="1">
    <brk id="38" max="7" man="1"/>
  </rowBreaks>
  <colBreaks count="1" manualBreakCount="1">
    <brk id="8" max="18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Расчет номинала</vt:lpstr>
      <vt:lpstr>Расчет нормативных затрат</vt:lpstr>
      <vt:lpstr>Сходимость модели ПФ</vt:lpstr>
      <vt:lpstr>Уточнение мунзадания</vt:lpstr>
      <vt:lpstr>'Уточнение мунзадания'!Область_печати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матвеева</cp:lastModifiedBy>
  <cp:lastPrinted>2023-03-23T12:07:58Z</cp:lastPrinted>
  <dcterms:created xsi:type="dcterms:W3CDTF">2019-03-03T02:50:35Z</dcterms:created>
  <dcterms:modified xsi:type="dcterms:W3CDTF">2023-04-12T07:18:14Z</dcterms:modified>
  <cp:category/>
</cp:coreProperties>
</file>